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93" activeTab="3"/>
  </bookViews>
  <sheets>
    <sheet name="Kopsavilkumu apr" sheetId="1" r:id="rId1"/>
    <sheet name="Koptāme" sheetId="2" r:id="rId2"/>
    <sheet name="1-1 (1)" sheetId="3" r:id="rId3"/>
    <sheet name="1-3 (1)" sheetId="4" r:id="rId4"/>
    <sheet name="1_4 (4)" sheetId="5" r:id="rId5"/>
    <sheet name="1_5(2)" sheetId="6" r:id="rId6"/>
    <sheet name="1_6 (4)" sheetId="7" r:id="rId7"/>
    <sheet name="1-7 (4)" sheetId="8" r:id="rId8"/>
    <sheet name="1_8 (4)" sheetId="9" r:id="rId9"/>
    <sheet name="1_9 (4)" sheetId="10" r:id="rId10"/>
    <sheet name="2_1 (1)" sheetId="11" r:id="rId11"/>
    <sheet name="2_2 (1)" sheetId="12" r:id="rId12"/>
    <sheet name="2_4 (1)" sheetId="13" r:id="rId13"/>
    <sheet name="2_5 (1)" sheetId="14" r:id="rId14"/>
    <sheet name="2_6 (1)" sheetId="15" r:id="rId15"/>
    <sheet name="3_1 (1)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Regression_Int">1</definedName>
    <definedName name="_Regression_Int_1">1</definedName>
    <definedName name="_Regression_Int_2">1</definedName>
    <definedName name="_Regression_Int_3">1</definedName>
    <definedName name="_Regression_Int_4">1</definedName>
    <definedName name="A">'[1]2'!$A$1</definedName>
    <definedName name="AKZ_Angebot">#REF!</definedName>
    <definedName name="AKZ_Angebot_1">#REF!</definedName>
    <definedName name="AKZ_Angebot_10">#REF!</definedName>
    <definedName name="AKZ_Angebot_11">#REF!</definedName>
    <definedName name="AKZ_Angebot_12">#REF!</definedName>
    <definedName name="AKZ_Angebot_13">#REF!</definedName>
    <definedName name="AKZ_Angebot_14">#REF!</definedName>
    <definedName name="AKZ_Angebot_15">#REF!</definedName>
    <definedName name="AKZ_Angebot_16">#REF!</definedName>
    <definedName name="AKZ_Angebot_17">#REF!</definedName>
    <definedName name="AKZ_Angebot_18">#REF!</definedName>
    <definedName name="AKZ_Angebot_19">#REF!</definedName>
    <definedName name="AKZ_Angebot_2">#REF!</definedName>
    <definedName name="AKZ_Angebot_20">#REF!</definedName>
    <definedName name="AKZ_Angebot_21">#REF!</definedName>
    <definedName name="AKZ_Angebot_22">#REF!</definedName>
    <definedName name="AKZ_Angebot_3">#REF!</definedName>
    <definedName name="AKZ_Angebot_4">#REF!</definedName>
    <definedName name="AKZ_Angebot_5">#REF!</definedName>
    <definedName name="AKZ_Angebot_6">#REF!</definedName>
    <definedName name="AKZ_Angebot_7">#REF!</definedName>
    <definedName name="AKZ_Angebot_8">#REF!</definedName>
    <definedName name="AKZ_Angebot_9">#REF!</definedName>
    <definedName name="AKZ_Auftrag">#REF!</definedName>
    <definedName name="AKZ_Auftrag_1">#REF!</definedName>
    <definedName name="AKZ_Auftrag_10">#REF!</definedName>
    <definedName name="AKZ_Auftrag_11">#REF!</definedName>
    <definedName name="AKZ_Auftrag_12">#REF!</definedName>
    <definedName name="AKZ_Auftrag_13">#REF!</definedName>
    <definedName name="AKZ_Auftrag_14">#REF!</definedName>
    <definedName name="AKZ_Auftrag_15">#REF!</definedName>
    <definedName name="AKZ_Auftrag_16">#REF!</definedName>
    <definedName name="AKZ_Auftrag_17">#REF!</definedName>
    <definedName name="AKZ_Auftrag_18">#REF!</definedName>
    <definedName name="AKZ_Auftrag_19">#REF!</definedName>
    <definedName name="AKZ_Auftrag_2">#REF!</definedName>
    <definedName name="AKZ_Auftrag_20">#REF!</definedName>
    <definedName name="AKZ_Auftrag_21">#REF!</definedName>
    <definedName name="AKZ_Auftrag_22">#REF!</definedName>
    <definedName name="AKZ_Auftrag_3">#REF!</definedName>
    <definedName name="AKZ_Auftrag_4">#REF!</definedName>
    <definedName name="AKZ_Auftrag_5">#REF!</definedName>
    <definedName name="AKZ_Auftrag_6">#REF!</definedName>
    <definedName name="AKZ_Auftrag_7">#REF!</definedName>
    <definedName name="AKZ_Auftrag_8">#REF!</definedName>
    <definedName name="AKZ_Auftrag_9">#REF!</definedName>
    <definedName name="Ang._Datum">#REF!</definedName>
    <definedName name="Ang._Datum_1">#REF!</definedName>
    <definedName name="Ang._Datum_10">#REF!</definedName>
    <definedName name="Ang._Datum_11">#REF!</definedName>
    <definedName name="Ang._Datum_12">#REF!</definedName>
    <definedName name="Ang._Datum_13">#REF!</definedName>
    <definedName name="Ang._Datum_14">#REF!</definedName>
    <definedName name="Ang._Datum_15">#REF!</definedName>
    <definedName name="Ang._Datum_16">#REF!</definedName>
    <definedName name="Ang._Datum_17">#REF!</definedName>
    <definedName name="Ang._Datum_18">#REF!</definedName>
    <definedName name="Ang._Datum_19">#REF!</definedName>
    <definedName name="Ang._Datum_2">#REF!</definedName>
    <definedName name="Ang._Datum_20">#REF!</definedName>
    <definedName name="Ang._Datum_21">#REF!</definedName>
    <definedName name="Ang._Datum_22">#REF!</definedName>
    <definedName name="Ang._Datum_3">#REF!</definedName>
    <definedName name="Ang._Datum_4">#REF!</definedName>
    <definedName name="Ang._Datum_5">#REF!</definedName>
    <definedName name="Ang._Datum_6">#REF!</definedName>
    <definedName name="Ang._Datum_7">#REF!</definedName>
    <definedName name="Ang._Datum_8">#REF!</definedName>
    <definedName name="Ang._Datum_9">#REF!</definedName>
    <definedName name="area5">#REF!</definedName>
    <definedName name="area5_1">#REF!</definedName>
    <definedName name="area5_10">#REF!</definedName>
    <definedName name="area5_11">#REF!</definedName>
    <definedName name="area5_12">#REF!</definedName>
    <definedName name="area5_13">#REF!</definedName>
    <definedName name="area5_14">#REF!</definedName>
    <definedName name="area5_15">#REF!</definedName>
    <definedName name="area5_16">#REF!</definedName>
    <definedName name="area5_17">#REF!</definedName>
    <definedName name="area5_18">#REF!</definedName>
    <definedName name="area5_19">#REF!</definedName>
    <definedName name="area5_2">#REF!</definedName>
    <definedName name="area5_20">#REF!</definedName>
    <definedName name="area5_21">#REF!</definedName>
    <definedName name="area5_22">#REF!</definedName>
    <definedName name="area5_3">#REF!</definedName>
    <definedName name="area5_4">#REF!</definedName>
    <definedName name="area5_5">#REF!</definedName>
    <definedName name="area5_6">#REF!</definedName>
    <definedName name="area5_7">#REF!</definedName>
    <definedName name="area5_8">#REF!</definedName>
    <definedName name="area5_9">#REF!</definedName>
    <definedName name="area6">#REF!</definedName>
    <definedName name="area6_1">#REF!</definedName>
    <definedName name="area6_10">#REF!</definedName>
    <definedName name="area6_11">#REF!</definedName>
    <definedName name="area6_12">#REF!</definedName>
    <definedName name="area6_13">#REF!</definedName>
    <definedName name="area6_14">#REF!</definedName>
    <definedName name="area6_15">#REF!</definedName>
    <definedName name="area6_16">#REF!</definedName>
    <definedName name="area6_17">#REF!</definedName>
    <definedName name="area6_18">#REF!</definedName>
    <definedName name="area6_19">#REF!</definedName>
    <definedName name="area6_2">#REF!</definedName>
    <definedName name="area6_20">#REF!</definedName>
    <definedName name="area6_21">#REF!</definedName>
    <definedName name="area6_22">#REF!</definedName>
    <definedName name="area6_3">#REF!</definedName>
    <definedName name="area6_4">#REF!</definedName>
    <definedName name="area6_5">#REF!</definedName>
    <definedName name="area6_6">#REF!</definedName>
    <definedName name="area6_7">#REF!</definedName>
    <definedName name="area6_8">#REF!</definedName>
    <definedName name="area6_9">#REF!</definedName>
    <definedName name="area8">'[6]G_1X_2520_mastertop_'!$B$9</definedName>
    <definedName name="area8_1">'[6]G_1X_2520_mastertop_'!$B$9</definedName>
    <definedName name="area8_10">'[6]G_1X_2520_mastertop_'!$B$9</definedName>
    <definedName name="area8_11">'[6]G_1X_2520_mastertop_'!$B$9</definedName>
    <definedName name="area8_12">'[6]G_1X_2520_mastertop_'!$B$9</definedName>
    <definedName name="area8_13">'[6]G_1X_2520_mastertop_'!$B$9</definedName>
    <definedName name="area8_14">'[6]G_1X_2520_mastertop_'!$B$9</definedName>
    <definedName name="area8_15">'[6]G_1X_2520_mastertop_'!$B$9</definedName>
    <definedName name="area8_16">'[6]G_1X_2520_mastertop_'!$B$9</definedName>
    <definedName name="area8_17">'[6]G_1X_2520_mastertop_'!$B$9</definedName>
    <definedName name="area8_18">'[6]G_1X_2520_mastertop_'!$B$9</definedName>
    <definedName name="area8_19">'[6]G_1X_2520_mastertop_'!$B$9</definedName>
    <definedName name="area8_2">'[6]G_1X_2520_mastertop_'!$B$9</definedName>
    <definedName name="area8_20">'[6]G_1X_2520_mastertop_'!$B$9</definedName>
    <definedName name="area8_21">'[6]G_1X_2520_mastertop_'!$B$9</definedName>
    <definedName name="area8_22">'[6]G-1X(2520+mastertop)'!$B$9</definedName>
    <definedName name="area8_3">'[6]G_1X_2520_mastertop_'!$B$9</definedName>
    <definedName name="area8_4">'[6]G_1X_2520_mastertop_'!$B$9</definedName>
    <definedName name="area8_5">'[6]G_1X_2520_mastertop_'!$B$9</definedName>
    <definedName name="area8_6">'[6]G_1X_2520_mastertop_'!$B$9</definedName>
    <definedName name="area8_7">'[6]G_1X_2520_mastertop_'!$B$9</definedName>
    <definedName name="area8_8">'[6]G_1X_2520_mastertop_'!$B$9</definedName>
    <definedName name="area8_9">'[6]G_1X_2520_mastertop_'!$B$9</definedName>
    <definedName name="Auftr._Datum">#REF!</definedName>
    <definedName name="Auftr._Datum_1">#REF!</definedName>
    <definedName name="Auftr._Datum_10">#REF!</definedName>
    <definedName name="Auftr._Datum_11">#REF!</definedName>
    <definedName name="Auftr._Datum_12">#REF!</definedName>
    <definedName name="Auftr._Datum_13">#REF!</definedName>
    <definedName name="Auftr._Datum_14">#REF!</definedName>
    <definedName name="Auftr._Datum_15">#REF!</definedName>
    <definedName name="Auftr._Datum_16">#REF!</definedName>
    <definedName name="Auftr._Datum_17">#REF!</definedName>
    <definedName name="Auftr._Datum_18">#REF!</definedName>
    <definedName name="Auftr._Datum_19">#REF!</definedName>
    <definedName name="Auftr._Datum_2">#REF!</definedName>
    <definedName name="Auftr._Datum_20">#REF!</definedName>
    <definedName name="Auftr._Datum_21">#REF!</definedName>
    <definedName name="Auftr._Datum_22">#REF!</definedName>
    <definedName name="Auftr._Datum_3">#REF!</definedName>
    <definedName name="Auftr._Datum_4">#REF!</definedName>
    <definedName name="Auftr._Datum_5">#REF!</definedName>
    <definedName name="Auftr._Datum_6">#REF!</definedName>
    <definedName name="Auftr._Datum_7">#REF!</definedName>
    <definedName name="Auftr._Datum_8">#REF!</definedName>
    <definedName name="Auftr._Datum_9">#REF!</definedName>
    <definedName name="Bearbeiter">#REF!</definedName>
    <definedName name="Bearbeiter_1">#REF!</definedName>
    <definedName name="Bearbeiter_10">#REF!</definedName>
    <definedName name="Bearbeiter_11">#REF!</definedName>
    <definedName name="Bearbeiter_12">#REF!</definedName>
    <definedName name="Bearbeiter_13">#REF!</definedName>
    <definedName name="Bearbeiter_14">#REF!</definedName>
    <definedName name="Bearbeiter_15">#REF!</definedName>
    <definedName name="Bearbeiter_16">#REF!</definedName>
    <definedName name="Bearbeiter_17">#REF!</definedName>
    <definedName name="Bearbeiter_18">#REF!</definedName>
    <definedName name="Bearbeiter_19">#REF!</definedName>
    <definedName name="Bearbeiter_2">#REF!</definedName>
    <definedName name="Bearbeiter_20">#REF!</definedName>
    <definedName name="Bearbeiter_21">#REF!</definedName>
    <definedName name="Bearbeiter_22">#REF!</definedName>
    <definedName name="Bearbeiter_3">#REF!</definedName>
    <definedName name="Bearbeiter_4">#REF!</definedName>
    <definedName name="Bearbeiter_5">#REF!</definedName>
    <definedName name="Bearbeiter_6">#REF!</definedName>
    <definedName name="Bearbeiter_7">#REF!</definedName>
    <definedName name="Bearbeiter_8">#REF!</definedName>
    <definedName name="Bearbeiter_9">#REF!</definedName>
    <definedName name="Cent_Stacija">#REF!</definedName>
    <definedName name="Cent_Stacija_1">#REF!</definedName>
    <definedName name="Cent_Stacija_10">#REF!</definedName>
    <definedName name="Cent_Stacija_11">#REF!</definedName>
    <definedName name="Cent_Stacija_12">#REF!</definedName>
    <definedName name="Cent_Stacija_13">#REF!</definedName>
    <definedName name="Cent_Stacija_14">#REF!</definedName>
    <definedName name="Cent_Stacija_15">#REF!</definedName>
    <definedName name="Cent_Stacija_16">#REF!</definedName>
    <definedName name="Cent_Stacija_17">#REF!</definedName>
    <definedName name="Cent_Stacija_18">#REF!</definedName>
    <definedName name="Cent_Stacija_19">#REF!</definedName>
    <definedName name="Cent_Stacija_2">#REF!</definedName>
    <definedName name="Cent_Stacija_20">#REF!</definedName>
    <definedName name="Cent_Stacija_21">#REF!</definedName>
    <definedName name="Cent_Stacija_22">#REF!</definedName>
    <definedName name="Cent_Stacija_3">#REF!</definedName>
    <definedName name="Cent_Stacija_4">#REF!</definedName>
    <definedName name="Cent_Stacija_5">#REF!</definedName>
    <definedName name="Cent_Stacija_6">#REF!</definedName>
    <definedName name="Cent_Stacija_7">#REF!</definedName>
    <definedName name="Cent_Stacija_8">#REF!</definedName>
    <definedName name="Cent_Stacija_9">#REF!</definedName>
    <definedName name="_xlnm.Print_Area" localSheetId="4">'1_4 (4)'!$A$1:$P$26</definedName>
    <definedName name="_xlnm.Print_Area" localSheetId="5">'1_5(2)'!$A$1:$P$33</definedName>
    <definedName name="_xlnm.Print_Area" localSheetId="6">'1_6 (4)'!$A$1:$P$25</definedName>
    <definedName name="_xlnm.Print_Area" localSheetId="8">'1_8 (4)'!$A$1:$P$25</definedName>
    <definedName name="_xlnm.Print_Area" localSheetId="9">'1_9 (4)'!$A$1:$P$32</definedName>
    <definedName name="_xlnm.Print_Area" localSheetId="2">'1-1 (1)'!$A$1:$P$24</definedName>
    <definedName name="_xlnm.Print_Area" localSheetId="3">'1-3 (1)'!$A$1:$P$27</definedName>
    <definedName name="_xlnm.Print_Area" localSheetId="7">'1-7 (4)'!$A$1:$P$32</definedName>
    <definedName name="_xlnm.Print_Area" localSheetId="10">'2_1 (1)'!$A$1:$P$79</definedName>
    <definedName name="_xlnm.Print_Area" localSheetId="12">'2_4 (1)'!$A$1:$P$28</definedName>
    <definedName name="_xlnm.Print_Area" localSheetId="13">'2_5 (1)'!$A$1:$P$50</definedName>
    <definedName name="_xlnm.Print_Area" localSheetId="14">'2_6 (1)'!$A$1:$P$52</definedName>
    <definedName name="_xlnm.Print_Area" localSheetId="15">'3_1 (1)'!$A$1:$P$52</definedName>
    <definedName name="_xlnm.Print_Titles" localSheetId="4">'1_4 (4)'!$10:$11</definedName>
    <definedName name="_xlnm.Print_Titles" localSheetId="5">'1_5(2)'!$10:$11</definedName>
    <definedName name="_xlnm.Print_Titles" localSheetId="6">'1_6 (4)'!$10:$11</definedName>
    <definedName name="_xlnm.Print_Titles" localSheetId="8">'1_8 (4)'!$10:$11</definedName>
    <definedName name="_xlnm.Print_Titles" localSheetId="2">'1-1 (1)'!$12:$13</definedName>
    <definedName name="_xlnm.Print_Titles" localSheetId="3">'1-3 (1)'!$10:$11</definedName>
    <definedName name="_xlnm.Print_Titles" localSheetId="7">'1-7 (4)'!$11:$12</definedName>
    <definedName name="_xlnm.Print_Titles" localSheetId="10">'2_1 (1)'!$10:$11</definedName>
    <definedName name="_xlnm.Print_Titles" localSheetId="12">'2_4 (1)'!$10:$11</definedName>
    <definedName name="_xlnm.Print_Titles" localSheetId="13">'2_5 (1)'!$10:$11</definedName>
    <definedName name="_xlnm.Print_Titles" localSheetId="14">'2_6 (1)'!$10:$11</definedName>
    <definedName name="_xlnm.Print_Titles" localSheetId="15">'3_1 (1)'!$10:$11</definedName>
    <definedName name="Excel_BuiltIn_Print_Area13">#REF!</definedName>
    <definedName name="Excel_BuiltIn_Print_Area_1">#REF!</definedName>
    <definedName name="Excel_BuiltIn_Print_Area_11">#REF!</definedName>
    <definedName name="Excel_BuiltIn_Print_Area_12">#REF!</definedName>
    <definedName name="Excel_BuiltIn_Print_Area_13">#REF!</definedName>
    <definedName name="Excel_BuiltIn_Print_Area_16">#REF!</definedName>
    <definedName name="Excel_BuiltIn_Print_Area_17">#REF!</definedName>
    <definedName name="Excel_BuiltIn_Print_Area_20">#REF!</definedName>
    <definedName name="Excel_BuiltIn_Print_Area_21">#REF!</definedName>
    <definedName name="Excel_BuiltIn_Print_Area_24">#REF!</definedName>
    <definedName name="Excel_BuiltIn_Print_Area_26">#REF!</definedName>
    <definedName name="Excel_BuiltIn_Print_Area_28">NA()</definedName>
    <definedName name="Excel_BuiltIn_Print_Area_29">NA()</definedName>
    <definedName name="Excel_BuiltIn_Print_Area_3">#REF!</definedName>
    <definedName name="Excel_BuiltIn_Print_Area_5">#REF!</definedName>
    <definedName name="Excel_BuiltIn_Print_Area_6">#REF!</definedName>
    <definedName name="Excel_BuiltIn_Print_Area_61">#REF!</definedName>
    <definedName name="Excel_BuiltIn_Print_Area_8">#REF!</definedName>
    <definedName name="Excel_BuiltIn_Print_Area_9">#REF!</definedName>
    <definedName name="Excel_BuiltIn_Print_Titles12">#REF!</definedName>
    <definedName name="Excel_BuiltIn_Print_Titles_1">#REF!</definedName>
    <definedName name="Excel_BuiltIn_Print_Titles_11">#REF!</definedName>
    <definedName name="Excel_BuiltIn_Print_Titles_1_1">#REF!</definedName>
    <definedName name="Excel_BuiltIn_Print_Titles_10">#REF!</definedName>
    <definedName name="Excel_BuiltIn_Print_Titles_12">#REF!</definedName>
    <definedName name="Excel_BuiltIn_Print_Titles_14">#REF!</definedName>
    <definedName name="Excel_BuiltIn_Print_Titles_15">#REF!</definedName>
    <definedName name="Excel_BuiltIn_Print_Titles_18">#REF!</definedName>
    <definedName name="Excel_BuiltIn_Print_Titles_19">#REF!</definedName>
    <definedName name="Excel_BuiltIn_Print_Titles_2">#REF!</definedName>
    <definedName name="Excel_BuiltIn_Print_Titles_2_1">('[7]1_ stāvs'!$A$1:$B$65521,'[7]1_ stāvs'!$A$1:$B$3)</definedName>
    <definedName name="Excel_BuiltIn_Print_Titles_2_1_1">('[7]1_ stāvs'!$A$1:$B$65521,'[7]1_ stāvs'!$A$1:$B$3)</definedName>
    <definedName name="Excel_BuiltIn_Print_Titles_22">#REF!</definedName>
    <definedName name="Excel_BuiltIn_Print_Titles_4">#REF!</definedName>
    <definedName name="Excel_BuiltIn_Print_Titles_6">#REF!</definedName>
    <definedName name="Excel_BuiltIn_Print_Titles_7">#REF!</definedName>
    <definedName name="Excel_BuiltIn_Print_Titles_9">#REF!</definedName>
    <definedName name="Faktorgruppe1">#REF!</definedName>
    <definedName name="Faktorgruppe1_1">#REF!</definedName>
    <definedName name="Faktorgruppe1_10">#REF!</definedName>
    <definedName name="Faktorgruppe1_11">#REF!</definedName>
    <definedName name="Faktorgruppe1_12">#REF!</definedName>
    <definedName name="Faktorgruppe1_13">#REF!</definedName>
    <definedName name="Faktorgruppe1_14">#REF!</definedName>
    <definedName name="Faktorgruppe1_15">#REF!</definedName>
    <definedName name="Faktorgruppe1_16">#REF!</definedName>
    <definedName name="Faktorgruppe1_17">#REF!</definedName>
    <definedName name="Faktorgruppe1_18">#REF!</definedName>
    <definedName name="Faktorgruppe1_19">#REF!</definedName>
    <definedName name="Faktorgruppe1_2">#REF!</definedName>
    <definedName name="Faktorgruppe1_20">#REF!</definedName>
    <definedName name="Faktorgruppe1_21">#REF!</definedName>
    <definedName name="Faktorgruppe1_22">#REF!</definedName>
    <definedName name="Faktorgruppe1_3">#REF!</definedName>
    <definedName name="Faktorgruppe1_4">#REF!</definedName>
    <definedName name="Faktorgruppe1_5">#REF!</definedName>
    <definedName name="Faktorgruppe1_6">#REF!</definedName>
    <definedName name="Faktorgruppe1_7">#REF!</definedName>
    <definedName name="Faktorgruppe1_8">#REF!</definedName>
    <definedName name="Faktorgruppe1_9">#REF!</definedName>
    <definedName name="Faktorgruppe2">#REF!</definedName>
    <definedName name="Faktorgruppe2_1">#REF!</definedName>
    <definedName name="Faktorgruppe2_10">#REF!</definedName>
    <definedName name="Faktorgruppe2_11">#REF!</definedName>
    <definedName name="Faktorgruppe2_12">#REF!</definedName>
    <definedName name="Faktorgruppe2_13">#REF!</definedName>
    <definedName name="Faktorgruppe2_14">#REF!</definedName>
    <definedName name="Faktorgruppe2_15">#REF!</definedName>
    <definedName name="Faktorgruppe2_16">#REF!</definedName>
    <definedName name="Faktorgruppe2_17">#REF!</definedName>
    <definedName name="Faktorgruppe2_18">#REF!</definedName>
    <definedName name="Faktorgruppe2_19">#REF!</definedName>
    <definedName name="Faktorgruppe2_2">#REF!</definedName>
    <definedName name="Faktorgruppe2_20">#REF!</definedName>
    <definedName name="Faktorgruppe2_21">#REF!</definedName>
    <definedName name="Faktorgruppe2_22">#REF!</definedName>
    <definedName name="Faktorgruppe2_3">#REF!</definedName>
    <definedName name="Faktorgruppe2_4">#REF!</definedName>
    <definedName name="Faktorgruppe2_5">#REF!</definedName>
    <definedName name="Faktorgruppe2_6">#REF!</definedName>
    <definedName name="Faktorgruppe2_7">#REF!</definedName>
    <definedName name="Faktorgruppe2_8">#REF!</definedName>
    <definedName name="Faktorgruppe2_9">#REF!</definedName>
    <definedName name="Faktorgruppe3">#REF!</definedName>
    <definedName name="Faktorgruppe3_1">#REF!</definedName>
    <definedName name="Faktorgruppe3_10">#REF!</definedName>
    <definedName name="Faktorgruppe3_11">#REF!</definedName>
    <definedName name="Faktorgruppe3_12">#REF!</definedName>
    <definedName name="Faktorgruppe3_13">#REF!</definedName>
    <definedName name="Faktorgruppe3_14">#REF!</definedName>
    <definedName name="Faktorgruppe3_15">#REF!</definedName>
    <definedName name="Faktorgruppe3_16">#REF!</definedName>
    <definedName name="Faktorgruppe3_17">#REF!</definedName>
    <definedName name="Faktorgruppe3_18">#REF!</definedName>
    <definedName name="Faktorgruppe3_19">#REF!</definedName>
    <definedName name="Faktorgruppe3_2">#REF!</definedName>
    <definedName name="Faktorgruppe3_20">#REF!</definedName>
    <definedName name="Faktorgruppe3_21">#REF!</definedName>
    <definedName name="Faktorgruppe3_22">#REF!</definedName>
    <definedName name="Faktorgruppe3_3">#REF!</definedName>
    <definedName name="Faktorgruppe3_4">#REF!</definedName>
    <definedName name="Faktorgruppe3_5">#REF!</definedName>
    <definedName name="Faktorgruppe3_6">#REF!</definedName>
    <definedName name="Faktorgruppe3_7">#REF!</definedName>
    <definedName name="Faktorgruppe3_8">#REF!</definedName>
    <definedName name="Faktorgruppe3_9">#REF!</definedName>
    <definedName name="Faktorgruppe4">#REF!</definedName>
    <definedName name="Faktorgruppe4_1">#REF!</definedName>
    <definedName name="Faktorgruppe4_10">#REF!</definedName>
    <definedName name="Faktorgruppe4_11">#REF!</definedName>
    <definedName name="Faktorgruppe4_12">#REF!</definedName>
    <definedName name="Faktorgruppe4_13">#REF!</definedName>
    <definedName name="Faktorgruppe4_14">#REF!</definedName>
    <definedName name="Faktorgruppe4_15">#REF!</definedName>
    <definedName name="Faktorgruppe4_16">#REF!</definedName>
    <definedName name="Faktorgruppe4_17">#REF!</definedName>
    <definedName name="Faktorgruppe4_18">#REF!</definedName>
    <definedName name="Faktorgruppe4_19">#REF!</definedName>
    <definedName name="Faktorgruppe4_2">#REF!</definedName>
    <definedName name="Faktorgruppe4_20">#REF!</definedName>
    <definedName name="Faktorgruppe4_21">#REF!</definedName>
    <definedName name="Faktorgruppe4_22">#REF!</definedName>
    <definedName name="Faktorgruppe4_3">#REF!</definedName>
    <definedName name="Faktorgruppe4_4">#REF!</definedName>
    <definedName name="Faktorgruppe4_5">#REF!</definedName>
    <definedName name="Faktorgruppe4_6">#REF!</definedName>
    <definedName name="Faktorgruppe4_7">#REF!</definedName>
    <definedName name="Faktorgruppe4_8">#REF!</definedName>
    <definedName name="Faktorgruppe4_9">#REF!</definedName>
    <definedName name="Faktorgruppe5">#REF!</definedName>
    <definedName name="Faktorgruppe5_1">#REF!</definedName>
    <definedName name="Faktorgruppe5_10">#REF!</definedName>
    <definedName name="Faktorgruppe5_11">#REF!</definedName>
    <definedName name="Faktorgruppe5_12">#REF!</definedName>
    <definedName name="Faktorgruppe5_13">#REF!</definedName>
    <definedName name="Faktorgruppe5_14">#REF!</definedName>
    <definedName name="Faktorgruppe5_15">#REF!</definedName>
    <definedName name="Faktorgruppe5_16">#REF!</definedName>
    <definedName name="Faktorgruppe5_17">#REF!</definedName>
    <definedName name="Faktorgruppe5_18">#REF!</definedName>
    <definedName name="Faktorgruppe5_19">#REF!</definedName>
    <definedName name="Faktorgruppe5_2">#REF!</definedName>
    <definedName name="Faktorgruppe5_20">#REF!</definedName>
    <definedName name="Faktorgruppe5_21">#REF!</definedName>
    <definedName name="Faktorgruppe5_22">#REF!</definedName>
    <definedName name="Faktorgruppe5_3">#REF!</definedName>
    <definedName name="Faktorgruppe5_4">#REF!</definedName>
    <definedName name="Faktorgruppe5_5">#REF!</definedName>
    <definedName name="Faktorgruppe5_6">#REF!</definedName>
    <definedName name="Faktorgruppe5_7">#REF!</definedName>
    <definedName name="Faktorgruppe5_8">#REF!</definedName>
    <definedName name="Faktorgruppe5_9">#REF!</definedName>
    <definedName name="Faktorgruppe6">#REF!</definedName>
    <definedName name="Faktorgruppe6_1">#REF!</definedName>
    <definedName name="Faktorgruppe6_10">#REF!</definedName>
    <definedName name="Faktorgruppe6_11">#REF!</definedName>
    <definedName name="Faktorgruppe6_12">#REF!</definedName>
    <definedName name="Faktorgruppe6_13">#REF!</definedName>
    <definedName name="Faktorgruppe6_14">#REF!</definedName>
    <definedName name="Faktorgruppe6_15">#REF!</definedName>
    <definedName name="Faktorgruppe6_16">#REF!</definedName>
    <definedName name="Faktorgruppe6_17">#REF!</definedName>
    <definedName name="Faktorgruppe6_18">#REF!</definedName>
    <definedName name="Faktorgruppe6_19">#REF!</definedName>
    <definedName name="Faktorgruppe6_2">#REF!</definedName>
    <definedName name="Faktorgruppe6_20">#REF!</definedName>
    <definedName name="Faktorgruppe6_21">#REF!</definedName>
    <definedName name="Faktorgruppe6_22">#REF!</definedName>
    <definedName name="Faktorgruppe6_3">#REF!</definedName>
    <definedName name="Faktorgruppe6_4">#REF!</definedName>
    <definedName name="Faktorgruppe6_5">#REF!</definedName>
    <definedName name="Faktorgruppe6_6">#REF!</definedName>
    <definedName name="Faktorgruppe6_7">#REF!</definedName>
    <definedName name="Faktorgruppe6_8">#REF!</definedName>
    <definedName name="Faktorgruppe6_9">#REF!</definedName>
    <definedName name="Faktorgruppe7">#REF!</definedName>
    <definedName name="Faktorgruppe7_1">#REF!</definedName>
    <definedName name="Faktorgruppe7_10">#REF!</definedName>
    <definedName name="Faktorgruppe7_11">#REF!</definedName>
    <definedName name="Faktorgruppe7_12">#REF!</definedName>
    <definedName name="Faktorgruppe7_13">#REF!</definedName>
    <definedName name="Faktorgruppe7_14">#REF!</definedName>
    <definedName name="Faktorgruppe7_15">#REF!</definedName>
    <definedName name="Faktorgruppe7_16">#REF!</definedName>
    <definedName name="Faktorgruppe7_17">#REF!</definedName>
    <definedName name="Faktorgruppe7_18">#REF!</definedName>
    <definedName name="Faktorgruppe7_19">#REF!</definedName>
    <definedName name="Faktorgruppe7_2">#REF!</definedName>
    <definedName name="Faktorgruppe7_20">#REF!</definedName>
    <definedName name="Faktorgruppe7_21">#REF!</definedName>
    <definedName name="Faktorgruppe7_22">#REF!</definedName>
    <definedName name="Faktorgruppe7_3">#REF!</definedName>
    <definedName name="Faktorgruppe7_4">#REF!</definedName>
    <definedName name="Faktorgruppe7_5">#REF!</definedName>
    <definedName name="Faktorgruppe7_6">#REF!</definedName>
    <definedName name="Faktorgruppe7_7">#REF!</definedName>
    <definedName name="Faktorgruppe7_8">#REF!</definedName>
    <definedName name="Faktorgruppe7_9">#REF!</definedName>
    <definedName name="Faktorgruppe8">#REF!</definedName>
    <definedName name="Faktorgruppe8_1">#REF!</definedName>
    <definedName name="Faktorgruppe8_10">#REF!</definedName>
    <definedName name="Faktorgruppe8_11">#REF!</definedName>
    <definedName name="Faktorgruppe8_12">#REF!</definedName>
    <definedName name="Faktorgruppe8_13">#REF!</definedName>
    <definedName name="Faktorgruppe8_14">#REF!</definedName>
    <definedName name="Faktorgruppe8_15">#REF!</definedName>
    <definedName name="Faktorgruppe8_16">#REF!</definedName>
    <definedName name="Faktorgruppe8_17">#REF!</definedName>
    <definedName name="Faktorgruppe8_18">#REF!</definedName>
    <definedName name="Faktorgruppe8_19">#REF!</definedName>
    <definedName name="Faktorgruppe8_2">#REF!</definedName>
    <definedName name="Faktorgruppe8_20">#REF!</definedName>
    <definedName name="Faktorgruppe8_21">#REF!</definedName>
    <definedName name="Faktorgruppe8_22">#REF!</definedName>
    <definedName name="Faktorgruppe8_3">#REF!</definedName>
    <definedName name="Faktorgruppe8_4">#REF!</definedName>
    <definedName name="Faktorgruppe8_5">#REF!</definedName>
    <definedName name="Faktorgruppe8_6">#REF!</definedName>
    <definedName name="Faktorgruppe8_7">#REF!</definedName>
    <definedName name="Faktorgruppe8_8">#REF!</definedName>
    <definedName name="Faktorgruppe8_9">#REF!</definedName>
    <definedName name="Faktorgruppe9">#REF!</definedName>
    <definedName name="Faktorgruppe9_1">#REF!</definedName>
    <definedName name="Faktorgruppe9_10">#REF!</definedName>
    <definedName name="Faktorgruppe9_11">#REF!</definedName>
    <definedName name="Faktorgruppe9_12">#REF!</definedName>
    <definedName name="Faktorgruppe9_13">#REF!</definedName>
    <definedName name="Faktorgruppe9_14">#REF!</definedName>
    <definedName name="Faktorgruppe9_15">#REF!</definedName>
    <definedName name="Faktorgruppe9_16">#REF!</definedName>
    <definedName name="Faktorgruppe9_17">#REF!</definedName>
    <definedName name="Faktorgruppe9_18">#REF!</definedName>
    <definedName name="Faktorgruppe9_19">#REF!</definedName>
    <definedName name="Faktorgruppe9_2">#REF!</definedName>
    <definedName name="Faktorgruppe9_20">#REF!</definedName>
    <definedName name="Faktorgruppe9_21">#REF!</definedName>
    <definedName name="Faktorgruppe9_22">#REF!</definedName>
    <definedName name="Faktorgruppe9_3">#REF!</definedName>
    <definedName name="Faktorgruppe9_4">#REF!</definedName>
    <definedName name="Faktorgruppe9_5">#REF!</definedName>
    <definedName name="Faktorgruppe9_6">#REF!</definedName>
    <definedName name="Faktorgruppe9_7">#REF!</definedName>
    <definedName name="Faktorgruppe9_8">#REF!</definedName>
    <definedName name="Faktorgruppe9_9">#REF!</definedName>
    <definedName name="Faktorwerte">#REF!</definedName>
    <definedName name="Faktorwerte_1">#REF!</definedName>
    <definedName name="Faktorwerte_10">#REF!</definedName>
    <definedName name="Faktorwerte_11">#REF!</definedName>
    <definedName name="Faktorwerte_12">#REF!</definedName>
    <definedName name="Faktorwerte_13">#REF!</definedName>
    <definedName name="Faktorwerte_14">#REF!</definedName>
    <definedName name="Faktorwerte_15">#REF!</definedName>
    <definedName name="Faktorwerte_16">#REF!</definedName>
    <definedName name="Faktorwerte_17">#REF!</definedName>
    <definedName name="Faktorwerte_18">#REF!</definedName>
    <definedName name="Faktorwerte_19">#REF!</definedName>
    <definedName name="Faktorwerte_2">#REF!</definedName>
    <definedName name="Faktorwerte_20">#REF!</definedName>
    <definedName name="Faktorwerte_21">#REF!</definedName>
    <definedName name="Faktorwerte_22">#REF!</definedName>
    <definedName name="Faktorwerte_3">#REF!</definedName>
    <definedName name="Faktorwerte_4">#REF!</definedName>
    <definedName name="Faktorwerte_5">#REF!</definedName>
    <definedName name="Faktorwerte_6">#REF!</definedName>
    <definedName name="Faktorwerte_7">#REF!</definedName>
    <definedName name="Faktorwerte_8">#REF!</definedName>
    <definedName name="Faktorwerte_9">#REF!</definedName>
    <definedName name="Faktorwerte_der_Faktorgruppen">#REF!</definedName>
    <definedName name="Faktorwerte_der_Faktorgruppen_1">#REF!</definedName>
    <definedName name="Faktorwerte_der_Faktorgruppen_10">#REF!</definedName>
    <definedName name="Faktorwerte_der_Faktorgruppen_11">#REF!</definedName>
    <definedName name="Faktorwerte_der_Faktorgruppen_12">#REF!</definedName>
    <definedName name="Faktorwerte_der_Faktorgruppen_13">#REF!</definedName>
    <definedName name="Faktorwerte_der_Faktorgruppen_14">#REF!</definedName>
    <definedName name="Faktorwerte_der_Faktorgruppen_15">#REF!</definedName>
    <definedName name="Faktorwerte_der_Faktorgruppen_16">#REF!</definedName>
    <definedName name="Faktorwerte_der_Faktorgruppen_17">#REF!</definedName>
    <definedName name="Faktorwerte_der_Faktorgruppen_18">#REF!</definedName>
    <definedName name="Faktorwerte_der_Faktorgruppen_19">#REF!</definedName>
    <definedName name="Faktorwerte_der_Faktorgruppen_2">#REF!</definedName>
    <definedName name="Faktorwerte_der_Faktorgruppen_20">#REF!</definedName>
    <definedName name="Faktorwerte_der_Faktorgruppen_21">#REF!</definedName>
    <definedName name="Faktorwerte_der_Faktorgruppen_22">#REF!</definedName>
    <definedName name="Faktorwerte_der_Faktorgruppen_3">#REF!</definedName>
    <definedName name="Faktorwerte_der_Faktorgruppen_4">#REF!</definedName>
    <definedName name="Faktorwerte_der_Faktorgruppen_5">#REF!</definedName>
    <definedName name="Faktorwerte_der_Faktorgruppen_6">#REF!</definedName>
    <definedName name="Faktorwerte_der_Faktorgruppen_7">#REF!</definedName>
    <definedName name="Faktorwerte_der_Faktorgruppen_8">#REF!</definedName>
    <definedName name="Faktorwerte_der_Faktorgruppen_9">#REF!</definedName>
    <definedName name="Gruppenname1">#REF!</definedName>
    <definedName name="Gruppenname1_1">#REF!</definedName>
    <definedName name="Gruppenname1_10">#REF!</definedName>
    <definedName name="Gruppenname1_11">#REF!</definedName>
    <definedName name="Gruppenname1_12">#REF!</definedName>
    <definedName name="Gruppenname1_13">#REF!</definedName>
    <definedName name="Gruppenname1_14">#REF!</definedName>
    <definedName name="Gruppenname1_15">#REF!</definedName>
    <definedName name="Gruppenname1_16">#REF!</definedName>
    <definedName name="Gruppenname1_17">#REF!</definedName>
    <definedName name="Gruppenname1_18">#REF!</definedName>
    <definedName name="Gruppenname1_19">#REF!</definedName>
    <definedName name="Gruppenname1_2">#REF!</definedName>
    <definedName name="Gruppenname1_20">#REF!</definedName>
    <definedName name="Gruppenname1_21">#REF!</definedName>
    <definedName name="Gruppenname1_22">#REF!</definedName>
    <definedName name="Gruppenname1_3">#REF!</definedName>
    <definedName name="Gruppenname1_4">#REF!</definedName>
    <definedName name="Gruppenname1_5">#REF!</definedName>
    <definedName name="Gruppenname1_6">#REF!</definedName>
    <definedName name="Gruppenname1_7">#REF!</definedName>
    <definedName name="Gruppenname1_8">#REF!</definedName>
    <definedName name="Gruppenname1_9">#REF!</definedName>
    <definedName name="Gruppenname2">#REF!</definedName>
    <definedName name="Gruppenname2_1">#REF!</definedName>
    <definedName name="Gruppenname2_10">#REF!</definedName>
    <definedName name="Gruppenname2_11">#REF!</definedName>
    <definedName name="Gruppenname2_12">#REF!</definedName>
    <definedName name="Gruppenname2_13">#REF!</definedName>
    <definedName name="Gruppenname2_14">#REF!</definedName>
    <definedName name="Gruppenname2_15">#REF!</definedName>
    <definedName name="Gruppenname2_16">#REF!</definedName>
    <definedName name="Gruppenname2_17">#REF!</definedName>
    <definedName name="Gruppenname2_18">#REF!</definedName>
    <definedName name="Gruppenname2_19">#REF!</definedName>
    <definedName name="Gruppenname2_2">#REF!</definedName>
    <definedName name="Gruppenname2_20">#REF!</definedName>
    <definedName name="Gruppenname2_21">#REF!</definedName>
    <definedName name="Gruppenname2_22">#REF!</definedName>
    <definedName name="Gruppenname2_3">#REF!</definedName>
    <definedName name="Gruppenname2_4">#REF!</definedName>
    <definedName name="Gruppenname2_5">#REF!</definedName>
    <definedName name="Gruppenname2_6">#REF!</definedName>
    <definedName name="Gruppenname2_7">#REF!</definedName>
    <definedName name="Gruppenname2_8">#REF!</definedName>
    <definedName name="Gruppenname2_9">#REF!</definedName>
    <definedName name="Gruppenname3">#REF!</definedName>
    <definedName name="Gruppenname3_1">#REF!</definedName>
    <definedName name="Gruppenname3_10">#REF!</definedName>
    <definedName name="Gruppenname3_11">#REF!</definedName>
    <definedName name="Gruppenname3_12">#REF!</definedName>
    <definedName name="Gruppenname3_13">#REF!</definedName>
    <definedName name="Gruppenname3_14">#REF!</definedName>
    <definedName name="Gruppenname3_15">#REF!</definedName>
    <definedName name="Gruppenname3_16">#REF!</definedName>
    <definedName name="Gruppenname3_17">#REF!</definedName>
    <definedName name="Gruppenname3_18">#REF!</definedName>
    <definedName name="Gruppenname3_19">#REF!</definedName>
    <definedName name="Gruppenname3_2">#REF!</definedName>
    <definedName name="Gruppenname3_20">#REF!</definedName>
    <definedName name="Gruppenname3_21">#REF!</definedName>
    <definedName name="Gruppenname3_22">#REF!</definedName>
    <definedName name="Gruppenname3_3">#REF!</definedName>
    <definedName name="Gruppenname3_4">#REF!</definedName>
    <definedName name="Gruppenname3_5">#REF!</definedName>
    <definedName name="Gruppenname3_6">#REF!</definedName>
    <definedName name="Gruppenname3_7">#REF!</definedName>
    <definedName name="Gruppenname3_8">#REF!</definedName>
    <definedName name="Gruppenname3_9">#REF!</definedName>
    <definedName name="Gruppenname4">#REF!</definedName>
    <definedName name="Gruppenname4_1">#REF!</definedName>
    <definedName name="Gruppenname4_10">#REF!</definedName>
    <definedName name="Gruppenname4_11">#REF!</definedName>
    <definedName name="Gruppenname4_12">#REF!</definedName>
    <definedName name="Gruppenname4_13">#REF!</definedName>
    <definedName name="Gruppenname4_14">#REF!</definedName>
    <definedName name="Gruppenname4_15">#REF!</definedName>
    <definedName name="Gruppenname4_16">#REF!</definedName>
    <definedName name="Gruppenname4_17">#REF!</definedName>
    <definedName name="Gruppenname4_18">#REF!</definedName>
    <definedName name="Gruppenname4_19">#REF!</definedName>
    <definedName name="Gruppenname4_2">#REF!</definedName>
    <definedName name="Gruppenname4_20">#REF!</definedName>
    <definedName name="Gruppenname4_21">#REF!</definedName>
    <definedName name="Gruppenname4_22">#REF!</definedName>
    <definedName name="Gruppenname4_3">#REF!</definedName>
    <definedName name="Gruppenname4_4">#REF!</definedName>
    <definedName name="Gruppenname4_5">#REF!</definedName>
    <definedName name="Gruppenname4_6">#REF!</definedName>
    <definedName name="Gruppenname4_7">#REF!</definedName>
    <definedName name="Gruppenname4_8">#REF!</definedName>
    <definedName name="Gruppenname4_9">#REF!</definedName>
    <definedName name="Gruppenname5">#REF!</definedName>
    <definedName name="Gruppenname5_1">#REF!</definedName>
    <definedName name="Gruppenname5_10">#REF!</definedName>
    <definedName name="Gruppenname5_11">#REF!</definedName>
    <definedName name="Gruppenname5_12">#REF!</definedName>
    <definedName name="Gruppenname5_13">#REF!</definedName>
    <definedName name="Gruppenname5_14">#REF!</definedName>
    <definedName name="Gruppenname5_15">#REF!</definedName>
    <definedName name="Gruppenname5_16">#REF!</definedName>
    <definedName name="Gruppenname5_17">#REF!</definedName>
    <definedName name="Gruppenname5_18">#REF!</definedName>
    <definedName name="Gruppenname5_19">#REF!</definedName>
    <definedName name="Gruppenname5_2">#REF!</definedName>
    <definedName name="Gruppenname5_20">#REF!</definedName>
    <definedName name="Gruppenname5_21">#REF!</definedName>
    <definedName name="Gruppenname5_22">#REF!</definedName>
    <definedName name="Gruppenname5_3">#REF!</definedName>
    <definedName name="Gruppenname5_4">#REF!</definedName>
    <definedName name="Gruppenname5_5">#REF!</definedName>
    <definedName name="Gruppenname5_6">#REF!</definedName>
    <definedName name="Gruppenname5_7">#REF!</definedName>
    <definedName name="Gruppenname5_8">#REF!</definedName>
    <definedName name="Gruppenname5_9">#REF!</definedName>
    <definedName name="Gruppenname6">#REF!</definedName>
    <definedName name="Gruppenname6_1">#REF!</definedName>
    <definedName name="Gruppenname6_10">#REF!</definedName>
    <definedName name="Gruppenname6_11">#REF!</definedName>
    <definedName name="Gruppenname6_12">#REF!</definedName>
    <definedName name="Gruppenname6_13">#REF!</definedName>
    <definedName name="Gruppenname6_14">#REF!</definedName>
    <definedName name="Gruppenname6_15">#REF!</definedName>
    <definedName name="Gruppenname6_16">#REF!</definedName>
    <definedName name="Gruppenname6_17">#REF!</definedName>
    <definedName name="Gruppenname6_18">#REF!</definedName>
    <definedName name="Gruppenname6_19">#REF!</definedName>
    <definedName name="Gruppenname6_2">#REF!</definedName>
    <definedName name="Gruppenname6_20">#REF!</definedName>
    <definedName name="Gruppenname6_21">#REF!</definedName>
    <definedName name="Gruppenname6_22">#REF!</definedName>
    <definedName name="Gruppenname6_3">#REF!</definedName>
    <definedName name="Gruppenname6_4">#REF!</definedName>
    <definedName name="Gruppenname6_5">#REF!</definedName>
    <definedName name="Gruppenname6_6">#REF!</definedName>
    <definedName name="Gruppenname6_7">#REF!</definedName>
    <definedName name="Gruppenname6_8">#REF!</definedName>
    <definedName name="Gruppenname6_9">#REF!</definedName>
    <definedName name="Gruppenname7">#REF!</definedName>
    <definedName name="Gruppenname7_1">#REF!</definedName>
    <definedName name="Gruppenname7_10">#REF!</definedName>
    <definedName name="Gruppenname7_11">#REF!</definedName>
    <definedName name="Gruppenname7_12">#REF!</definedName>
    <definedName name="Gruppenname7_13">#REF!</definedName>
    <definedName name="Gruppenname7_14">#REF!</definedName>
    <definedName name="Gruppenname7_15">#REF!</definedName>
    <definedName name="Gruppenname7_16">#REF!</definedName>
    <definedName name="Gruppenname7_17">#REF!</definedName>
    <definedName name="Gruppenname7_18">#REF!</definedName>
    <definedName name="Gruppenname7_19">#REF!</definedName>
    <definedName name="Gruppenname7_2">#REF!</definedName>
    <definedName name="Gruppenname7_20">#REF!</definedName>
    <definedName name="Gruppenname7_21">#REF!</definedName>
    <definedName name="Gruppenname7_22">#REF!</definedName>
    <definedName name="Gruppenname7_3">#REF!</definedName>
    <definedName name="Gruppenname7_4">#REF!</definedName>
    <definedName name="Gruppenname7_5">#REF!</definedName>
    <definedName name="Gruppenname7_6">#REF!</definedName>
    <definedName name="Gruppenname7_7">#REF!</definedName>
    <definedName name="Gruppenname7_8">#REF!</definedName>
    <definedName name="Gruppenname7_9">#REF!</definedName>
    <definedName name="Gruppenname8">#REF!</definedName>
    <definedName name="Gruppenname8_1">#REF!</definedName>
    <definedName name="Gruppenname8_10">#REF!</definedName>
    <definedName name="Gruppenname8_11">#REF!</definedName>
    <definedName name="Gruppenname8_12">#REF!</definedName>
    <definedName name="Gruppenname8_13">#REF!</definedName>
    <definedName name="Gruppenname8_14">#REF!</definedName>
    <definedName name="Gruppenname8_15">#REF!</definedName>
    <definedName name="Gruppenname8_16">#REF!</definedName>
    <definedName name="Gruppenname8_17">#REF!</definedName>
    <definedName name="Gruppenname8_18">#REF!</definedName>
    <definedName name="Gruppenname8_19">#REF!</definedName>
    <definedName name="Gruppenname8_2">#REF!</definedName>
    <definedName name="Gruppenname8_20">#REF!</definedName>
    <definedName name="Gruppenname8_21">#REF!</definedName>
    <definedName name="Gruppenname8_22">#REF!</definedName>
    <definedName name="Gruppenname8_3">#REF!</definedName>
    <definedName name="Gruppenname8_4">#REF!</definedName>
    <definedName name="Gruppenname8_5">#REF!</definedName>
    <definedName name="Gruppenname8_6">#REF!</definedName>
    <definedName name="Gruppenname8_7">#REF!</definedName>
    <definedName name="Gruppenname8_8">#REF!</definedName>
    <definedName name="Gruppenname8_9">#REF!</definedName>
    <definedName name="Gruppenname9">#REF!</definedName>
    <definedName name="Gruppenname9_1">#REF!</definedName>
    <definedName name="Gruppenname9_10">#REF!</definedName>
    <definedName name="Gruppenname9_11">#REF!</definedName>
    <definedName name="Gruppenname9_12">#REF!</definedName>
    <definedName name="Gruppenname9_13">#REF!</definedName>
    <definedName name="Gruppenname9_14">#REF!</definedName>
    <definedName name="Gruppenname9_15">#REF!</definedName>
    <definedName name="Gruppenname9_16">#REF!</definedName>
    <definedName name="Gruppenname9_17">#REF!</definedName>
    <definedName name="Gruppenname9_18">#REF!</definedName>
    <definedName name="Gruppenname9_19">#REF!</definedName>
    <definedName name="Gruppenname9_2">#REF!</definedName>
    <definedName name="Gruppenname9_20">#REF!</definedName>
    <definedName name="Gruppenname9_21">#REF!</definedName>
    <definedName name="Gruppenname9_22">#REF!</definedName>
    <definedName name="Gruppenname9_3">#REF!</definedName>
    <definedName name="Gruppenname9_4">#REF!</definedName>
    <definedName name="Gruppenname9_5">#REF!</definedName>
    <definedName name="Gruppenname9_6">#REF!</definedName>
    <definedName name="Gruppenname9_7">#REF!</definedName>
    <definedName name="Gruppenname9_8">#REF!</definedName>
    <definedName name="Gruppenname9_9">#REF!</definedName>
    <definedName name="hours5">#REF!</definedName>
    <definedName name="hours5_1">#REF!</definedName>
    <definedName name="hours5_10">#REF!</definedName>
    <definedName name="hours5_11">#REF!</definedName>
    <definedName name="hours5_12">#REF!</definedName>
    <definedName name="hours5_13">#REF!</definedName>
    <definedName name="hours5_14">#REF!</definedName>
    <definedName name="hours5_15">#REF!</definedName>
    <definedName name="hours5_16">#REF!</definedName>
    <definedName name="hours5_17">#REF!</definedName>
    <definedName name="hours5_18">#REF!</definedName>
    <definedName name="hours5_19">#REF!</definedName>
    <definedName name="hours5_2">#REF!</definedName>
    <definedName name="hours5_20">#REF!</definedName>
    <definedName name="hours5_21">#REF!</definedName>
    <definedName name="hours5_22">#REF!</definedName>
    <definedName name="hours5_3">#REF!</definedName>
    <definedName name="hours5_4">#REF!</definedName>
    <definedName name="hours5_5">#REF!</definedName>
    <definedName name="hours5_6">#REF!</definedName>
    <definedName name="hours5_7">#REF!</definedName>
    <definedName name="hours5_8">#REF!</definedName>
    <definedName name="hours5_9">#REF!</definedName>
    <definedName name="koptameties">#REF!</definedName>
    <definedName name="koptameties_1">#REF!</definedName>
    <definedName name="koptameties_10">#REF!</definedName>
    <definedName name="koptameties_11">#REF!</definedName>
    <definedName name="koptameties_12">#REF!</definedName>
    <definedName name="koptameties_13">#REF!</definedName>
    <definedName name="koptameties_14">#REF!</definedName>
    <definedName name="koptameties_15">#REF!</definedName>
    <definedName name="koptameties_16">#REF!</definedName>
    <definedName name="koptameties_17">#REF!</definedName>
    <definedName name="koptameties_18">#REF!</definedName>
    <definedName name="koptameties_19">#REF!</definedName>
    <definedName name="koptameties_2">#REF!</definedName>
    <definedName name="koptameties_20">#REF!</definedName>
    <definedName name="koptameties_21">#REF!</definedName>
    <definedName name="koptameties_22">#REF!</definedName>
    <definedName name="koptameties_3">#REF!</definedName>
    <definedName name="koptameties_4">#REF!</definedName>
    <definedName name="koptameties_5">#REF!</definedName>
    <definedName name="koptameties_6">#REF!</definedName>
    <definedName name="koptameties_7">#REF!</definedName>
    <definedName name="koptameties_8">#REF!</definedName>
    <definedName name="koptameties_9">#REF!</definedName>
    <definedName name="lapa">#REF!</definedName>
    <definedName name="lapa_1">#REF!</definedName>
    <definedName name="lapa_10">#REF!</definedName>
    <definedName name="lapa_11">#REF!</definedName>
    <definedName name="lapa_12">#REF!</definedName>
    <definedName name="lapa_13">#REF!</definedName>
    <definedName name="lapa_14">#REF!</definedName>
    <definedName name="lapa_15">#REF!</definedName>
    <definedName name="lapa_16">#REF!</definedName>
    <definedName name="lapa_17">#REF!</definedName>
    <definedName name="lapa_18">#REF!</definedName>
    <definedName name="lapa_19">#REF!</definedName>
    <definedName name="lapa_2">#REF!</definedName>
    <definedName name="lapa_20">#REF!</definedName>
    <definedName name="lapa_21">#REF!</definedName>
    <definedName name="lapa_22">#REF!</definedName>
    <definedName name="lapa_3">#REF!</definedName>
    <definedName name="lapa_4">#REF!</definedName>
    <definedName name="lapa_5">#REF!</definedName>
    <definedName name="lapa_6">#REF!</definedName>
    <definedName name="lapa_7">#REF!</definedName>
    <definedName name="lapa_8">#REF!</definedName>
    <definedName name="lapa_9">#REF!</definedName>
    <definedName name="Margin">#REF!</definedName>
    <definedName name="Margin_1">#REF!</definedName>
    <definedName name="Margin_10">#REF!</definedName>
    <definedName name="Margin_11">#REF!</definedName>
    <definedName name="Margin_12">#REF!</definedName>
    <definedName name="Margin_13">#REF!</definedName>
    <definedName name="Margin_14">#REF!</definedName>
    <definedName name="Margin_15">#REF!</definedName>
    <definedName name="Margin_16">#REF!</definedName>
    <definedName name="Margin_17">#REF!</definedName>
    <definedName name="Margin_18">#REF!</definedName>
    <definedName name="Margin_19">#REF!</definedName>
    <definedName name="Margin_2">#REF!</definedName>
    <definedName name="Margin_20">#REF!</definedName>
    <definedName name="Margin_21">#REF!</definedName>
    <definedName name="Margin_22">#REF!</definedName>
    <definedName name="Margin_3">#REF!</definedName>
    <definedName name="Margin_4">#REF!</definedName>
    <definedName name="Margin_5">#REF!</definedName>
    <definedName name="Margin_6">#REF!</definedName>
    <definedName name="Margin_7">#REF!</definedName>
    <definedName name="Margin_8">#REF!</definedName>
    <definedName name="Margin_9">#REF!</definedName>
    <definedName name="P">#REF!</definedName>
    <definedName name="P_1">#REF!</definedName>
    <definedName name="P_10">#REF!</definedName>
    <definedName name="P_11">#REF!</definedName>
    <definedName name="P_12">#REF!</definedName>
    <definedName name="P_13">#REF!</definedName>
    <definedName name="P_14">#REF!</definedName>
    <definedName name="P_15">#REF!</definedName>
    <definedName name="P_16">#REF!</definedName>
    <definedName name="P_17">#REF!</definedName>
    <definedName name="P_18">#REF!</definedName>
    <definedName name="P_19">#REF!</definedName>
    <definedName name="P_2">#REF!</definedName>
    <definedName name="P_20">#REF!</definedName>
    <definedName name="P_21">#REF!</definedName>
    <definedName name="P_22">#REF!</definedName>
    <definedName name="P_3">#REF!</definedName>
    <definedName name="P_4">#REF!</definedName>
    <definedName name="P_5">#REF!</definedName>
    <definedName name="P_6">#REF!</definedName>
    <definedName name="P_7">#REF!</definedName>
    <definedName name="P_8">#REF!</definedName>
    <definedName name="P_9">#REF!</definedName>
    <definedName name="PRINT_AREA_MI">NA()</definedName>
    <definedName name="PRINT_AREA_MI_1">NA()</definedName>
    <definedName name="PRINT_AREA_MI_10">NA()</definedName>
    <definedName name="Print_Area_MI_10_1">'[2]1_7:2_1'!#REF!</definedName>
    <definedName name="Print_Area_MI_10_1_1">'[3]1_7:2_1'!#REF!</definedName>
    <definedName name="Print_Area_MI_10_10">'[3]1_7:2_1'!#REF!</definedName>
    <definedName name="Print_Area_MI_10_11">'[3]1_7:2_1'!#REF!</definedName>
    <definedName name="Print_Area_MI_10_12">'[3]1_7:2_1'!#REF!</definedName>
    <definedName name="Print_Area_MI_10_2">'[3]1_7:2_1'!#REF!</definedName>
    <definedName name="Print_Area_MI_10_3">'[3]1_7:2_1'!#REF!</definedName>
    <definedName name="Print_Area_MI_10_4">'[3]1_7:2_1'!#REF!</definedName>
    <definedName name="Print_Area_MI_10_5">'[3]1_7:2_1'!#REF!</definedName>
    <definedName name="Print_Area_MI_10_6">'[3]1_7:2_1'!#REF!</definedName>
    <definedName name="Print_Area_MI_10_7">'[3]1_7:2_1'!#REF!</definedName>
    <definedName name="Print_Area_MI_10_8">'[3]1_7:2_1'!#REF!</definedName>
    <definedName name="Print_Area_MI_10_9">'[3]1_7:2_1'!#REF!</definedName>
    <definedName name="PRINT_AREA_MI_11">NA()</definedName>
    <definedName name="Print_Area_MI_11_1">'[2]1_8:2_2'!#REF!</definedName>
    <definedName name="Print_Area_MI_11_1_1">'[3]1_8:2_2'!#REF!</definedName>
    <definedName name="Print_Area_MI_11_10">'[3]1_8:2_2'!#REF!</definedName>
    <definedName name="Print_Area_MI_11_11">'[3]1_8:2_2'!#REF!</definedName>
    <definedName name="Print_Area_MI_11_12">'[3]1_8:2_2'!#REF!</definedName>
    <definedName name="Print_Area_MI_11_2">'[3]1_8:2_2'!#REF!</definedName>
    <definedName name="Print_Area_MI_11_3">'[3]1_8:2_2'!#REF!</definedName>
    <definedName name="Print_Area_MI_11_4">'[3]1_8:2_2'!#REF!</definedName>
    <definedName name="Print_Area_MI_11_5">'[3]1_8:2_2'!#REF!</definedName>
    <definedName name="Print_Area_MI_11_6">'[3]1_8:2_2'!#REF!</definedName>
    <definedName name="Print_Area_MI_11_7">'[3]1_8:2_2'!#REF!</definedName>
    <definedName name="Print_Area_MI_11_8">'[3]1_8:2_2'!#REF!</definedName>
    <definedName name="Print_Area_MI_11_9">'[3]1_8:2_2'!#REF!</definedName>
    <definedName name="PRINT_AREA_MI_12">NA()</definedName>
    <definedName name="Print_Area_MI_12_1">#REF!</definedName>
    <definedName name="PRINT_AREA_MI_13">NA()</definedName>
    <definedName name="Print_Area_MI_13_1">'[2]2_1:2_7'!#REF!</definedName>
    <definedName name="Print_Area_MI_13_1_1">'[3]2_1:2_7'!#REF!</definedName>
    <definedName name="Print_Area_MI_13_10">'[3]2_1:2_7'!#REF!</definedName>
    <definedName name="Print_Area_MI_13_11">'[3]2_1:2_7'!#REF!</definedName>
    <definedName name="Print_Area_MI_13_12">'[3]2_1:2_7'!#REF!</definedName>
    <definedName name="Print_Area_MI_13_2">'[3]2_1:2_7'!#REF!</definedName>
    <definedName name="Print_Area_MI_13_3">'[3]2_1:2_7'!#REF!</definedName>
    <definedName name="Print_Area_MI_13_4">'[3]2_1:2_7'!#REF!</definedName>
    <definedName name="Print_Area_MI_13_5">'[3]2_1:2_7'!#REF!</definedName>
    <definedName name="Print_Area_MI_13_6">'[3]2_1:2_7'!#REF!</definedName>
    <definedName name="Print_Area_MI_13_7">'[3]2_1:2_7'!#REF!</definedName>
    <definedName name="Print_Area_MI_13_8">'[3]2_1:2_7'!#REF!</definedName>
    <definedName name="Print_Area_MI_13_9">'[3]2_1:2_7'!#REF!</definedName>
    <definedName name="PRINT_AREA_MI_14">NA()</definedName>
    <definedName name="Print_Area_MI_14_16">#REF!</definedName>
    <definedName name="Print_Area_MI_14_17">#REF!</definedName>
    <definedName name="Print_Area_MI_14_23">#REF!</definedName>
    <definedName name="PRINT_AREA_MI_15">NA()</definedName>
    <definedName name="Print_Area_MI_15_10">#REF!</definedName>
    <definedName name="Print_Area_MI_15_11">#REF!</definedName>
    <definedName name="Print_Area_MI_15_12">#REF!</definedName>
    <definedName name="Print_Area_MI_15_13">#REF!</definedName>
    <definedName name="Print_Area_MI_15_2">#REF!</definedName>
    <definedName name="Print_Area_MI_15_3">#REF!</definedName>
    <definedName name="Print_Area_MI_15_4">#REF!</definedName>
    <definedName name="Print_Area_MI_15_5">#REF!</definedName>
    <definedName name="Print_Area_MI_15_6">#REF!</definedName>
    <definedName name="Print_Area_MI_15_7">#REF!</definedName>
    <definedName name="Print_Area_MI_15_8">#REF!</definedName>
    <definedName name="Print_Area_MI_15_9">#REF!</definedName>
    <definedName name="Print_Area_MI_16">'1-1 (1)'!#REF!</definedName>
    <definedName name="Print_Area_MI_16_10">'2_4 (1)'!#REF!</definedName>
    <definedName name="Print_Area_MI_16_11">'2_4 (1)'!#REF!</definedName>
    <definedName name="Print_Area_MI_16_12">'2_4 (1)'!#REF!</definedName>
    <definedName name="Print_Area_MI_16_13">'2_4 (1)'!#REF!</definedName>
    <definedName name="Print_Area_MI_16_2">'2_4 (1)'!#REF!</definedName>
    <definedName name="Print_Area_MI_16_3">'2_4 (1)'!#REF!</definedName>
    <definedName name="Print_Area_MI_16_4">'2_4 (1)'!#REF!</definedName>
    <definedName name="Print_Area_MI_16_5">'2_4 (1)'!#REF!</definedName>
    <definedName name="Print_Area_MI_16_6">'2_4 (1)'!#REF!</definedName>
    <definedName name="Print_Area_MI_16_7">'2_4 (1)'!#REF!</definedName>
    <definedName name="Print_Area_MI_16_8">'2_4 (1)'!#REF!</definedName>
    <definedName name="Print_Area_MI_16_9">'2_4 (1)'!#REF!</definedName>
    <definedName name="Print_Area_MI_17">'1-3 (1)'!#REF!</definedName>
    <definedName name="Print_Area_MI_18">'1-7 (4)'!#REF!</definedName>
    <definedName name="Print_Area_MI_19">#REF!</definedName>
    <definedName name="PRINT_AREA_MI_2">NA()</definedName>
    <definedName name="Print_Area_MI_20">#REF!</definedName>
    <definedName name="PRINT_AREA_MI_21">NA()</definedName>
    <definedName name="PRINT_AREA_MI_22">NA()</definedName>
    <definedName name="Print_Area_MI_22_1">#REF!</definedName>
    <definedName name="Print_Area_MI_22_1_1">#REF!</definedName>
    <definedName name="Print_Area_MI_22_10">#REF!</definedName>
    <definedName name="Print_Area_MI_22_11">#REF!</definedName>
    <definedName name="Print_Area_MI_22_12">#REF!</definedName>
    <definedName name="Print_Area_MI_22_2">#REF!</definedName>
    <definedName name="Print_Area_MI_22_3">#REF!</definedName>
    <definedName name="Print_Area_MI_22_4">#REF!</definedName>
    <definedName name="Print_Area_MI_22_5">#REF!</definedName>
    <definedName name="Print_Area_MI_22_6">#REF!</definedName>
    <definedName name="Print_Area_MI_22_7">#REF!</definedName>
    <definedName name="Print_Area_MI_22_8">#REF!</definedName>
    <definedName name="Print_Area_MI_22_9">#REF!</definedName>
    <definedName name="PRINT_AREA_MI_23">NA()</definedName>
    <definedName name="Print_Area_MI_23_1">#REF!</definedName>
    <definedName name="Print_Area_MI_23_1_1">#REF!</definedName>
    <definedName name="Print_Area_MI_23_10">#REF!</definedName>
    <definedName name="Print_Area_MI_23_11">#REF!</definedName>
    <definedName name="Print_Area_MI_23_12">#REF!</definedName>
    <definedName name="Print_Area_MI_23_2">#REF!</definedName>
    <definedName name="Print_Area_MI_23_3">#REF!</definedName>
    <definedName name="Print_Area_MI_23_4">#REF!</definedName>
    <definedName name="Print_Area_MI_23_5">#REF!</definedName>
    <definedName name="Print_Area_MI_23_6">#REF!</definedName>
    <definedName name="Print_Area_MI_23_7">#REF!</definedName>
    <definedName name="Print_Area_MI_23_8">#REF!</definedName>
    <definedName name="Print_Area_MI_23_9">#REF!</definedName>
    <definedName name="PRINT_AREA_MI_24">NA()</definedName>
    <definedName name="PRINT_AREA_MI_25">NA()</definedName>
    <definedName name="Print_Area_MI_25_1">#REF!</definedName>
    <definedName name="Print_Area_MI_25_1_1">#REF!</definedName>
    <definedName name="Print_Area_MI_25_10">#REF!</definedName>
    <definedName name="Print_Area_MI_25_11">#REF!</definedName>
    <definedName name="Print_Area_MI_25_12">#REF!</definedName>
    <definedName name="Print_Area_MI_25_2">#REF!</definedName>
    <definedName name="Print_Area_MI_25_3">#REF!</definedName>
    <definedName name="Print_Area_MI_25_4">#REF!</definedName>
    <definedName name="Print_Area_MI_25_5">#REF!</definedName>
    <definedName name="Print_Area_MI_25_6">#REF!</definedName>
    <definedName name="Print_Area_MI_25_7">#REF!</definedName>
    <definedName name="Print_Area_MI_25_8">#REF!</definedName>
    <definedName name="Print_Area_MI_25_9">#REF!</definedName>
    <definedName name="PRINT_AREA_MI_26">NA()</definedName>
    <definedName name="Print_Area_MI_26_1">#REF!</definedName>
    <definedName name="Print_Area_MI_26_1_1">#REF!</definedName>
    <definedName name="Print_Area_MI_26_10">#REF!</definedName>
    <definedName name="Print_Area_MI_26_11">#REF!</definedName>
    <definedName name="Print_Area_MI_26_12">#REF!</definedName>
    <definedName name="Print_Area_MI_26_2">#REF!</definedName>
    <definedName name="Print_Area_MI_26_3">#REF!</definedName>
    <definedName name="Print_Area_MI_26_4">#REF!</definedName>
    <definedName name="Print_Area_MI_26_5">#REF!</definedName>
    <definedName name="Print_Area_MI_26_6">#REF!</definedName>
    <definedName name="Print_Area_MI_26_7">#REF!</definedName>
    <definedName name="Print_Area_MI_26_8">#REF!</definedName>
    <definedName name="Print_Area_MI_26_9">#REF!</definedName>
    <definedName name="PRINT_AREA_MI_27">NA()</definedName>
    <definedName name="Print_Area_MI_27_1">#REF!</definedName>
    <definedName name="Print_Area_MI_27_1_1">#REF!</definedName>
    <definedName name="Print_Area_MI_27_10">#REF!</definedName>
    <definedName name="Print_Area_MI_27_11">#REF!</definedName>
    <definedName name="Print_Area_MI_27_12">#REF!</definedName>
    <definedName name="Print_Area_MI_27_2">#REF!</definedName>
    <definedName name="Print_Area_MI_27_3">#REF!</definedName>
    <definedName name="Print_Area_MI_27_4">#REF!</definedName>
    <definedName name="Print_Area_MI_27_5">#REF!</definedName>
    <definedName name="Print_Area_MI_27_6">#REF!</definedName>
    <definedName name="Print_Area_MI_27_7">#REF!</definedName>
    <definedName name="Print_Area_MI_27_8">#REF!</definedName>
    <definedName name="Print_Area_MI_27_9">#REF!</definedName>
    <definedName name="Print_Area_MI_28">#REF!</definedName>
    <definedName name="Print_Area_MI_28_1">#REF!</definedName>
    <definedName name="Print_Area_MI_28_10">#REF!</definedName>
    <definedName name="Print_Area_MI_28_11">#REF!</definedName>
    <definedName name="Print_Area_MI_28_12">#REF!</definedName>
    <definedName name="Print_Area_MI_28_2">#REF!</definedName>
    <definedName name="Print_Area_MI_28_3">#REF!</definedName>
    <definedName name="Print_Area_MI_28_4">#REF!</definedName>
    <definedName name="Print_Area_MI_28_5">#REF!</definedName>
    <definedName name="Print_Area_MI_28_6">#REF!</definedName>
    <definedName name="Print_Area_MI_28_7">#REF!</definedName>
    <definedName name="Print_Area_MI_28_8">#REF!</definedName>
    <definedName name="Print_Area_MI_28_9">#REF!</definedName>
    <definedName name="Print_Area_MI_29">#REF!</definedName>
    <definedName name="Print_Area_MI_29_1">#REF!</definedName>
    <definedName name="Print_Area_MI_29_10">#REF!</definedName>
    <definedName name="Print_Area_MI_29_11">#REF!</definedName>
    <definedName name="Print_Area_MI_29_12">#REF!</definedName>
    <definedName name="Print_Area_MI_29_2">#REF!</definedName>
    <definedName name="Print_Area_MI_29_3">#REF!</definedName>
    <definedName name="Print_Area_MI_29_4">#REF!</definedName>
    <definedName name="Print_Area_MI_29_5">#REF!</definedName>
    <definedName name="Print_Area_MI_29_6">#REF!</definedName>
    <definedName name="Print_Area_MI_29_7">#REF!</definedName>
    <definedName name="Print_Area_MI_29_8">#REF!</definedName>
    <definedName name="Print_Area_MI_29_9">#REF!</definedName>
    <definedName name="PRINT_AREA_MI_3">NA()</definedName>
    <definedName name="Print_Area_MI_30">#REF!</definedName>
    <definedName name="Print_Area_MI_30_1">#REF!</definedName>
    <definedName name="Print_Area_MI_30_10">#REF!</definedName>
    <definedName name="Print_Area_MI_30_11">#REF!</definedName>
    <definedName name="Print_Area_MI_30_12">#REF!</definedName>
    <definedName name="Print_Area_MI_30_2">#REF!</definedName>
    <definedName name="Print_Area_MI_30_3">#REF!</definedName>
    <definedName name="Print_Area_MI_30_4">#REF!</definedName>
    <definedName name="Print_Area_MI_30_5">#REF!</definedName>
    <definedName name="Print_Area_MI_30_6">#REF!</definedName>
    <definedName name="Print_Area_MI_30_7">#REF!</definedName>
    <definedName name="Print_Area_MI_30_8">#REF!</definedName>
    <definedName name="Print_Area_MI_30_9">#REF!</definedName>
    <definedName name="PRINT_AREA_MI_4">NA()</definedName>
    <definedName name="Print_Area_MI_4_1">'[2]1_1'!#REF!</definedName>
    <definedName name="Print_Area_MI_4_1_1">'[3]1_1'!#REF!</definedName>
    <definedName name="Print_Area_MI_4_10">'[3]1_1'!#REF!</definedName>
    <definedName name="Print_Area_MI_4_11">'[3]1_1'!#REF!</definedName>
    <definedName name="Print_Area_MI_4_12">'[3]1_1'!#REF!</definedName>
    <definedName name="Print_Area_MI_4_2">'[3]1_1'!#REF!</definedName>
    <definedName name="Print_Area_MI_4_3">'[3]1_1'!#REF!</definedName>
    <definedName name="Print_Area_MI_4_4">'[3]1_1'!#REF!</definedName>
    <definedName name="Print_Area_MI_4_5">'[3]1_1'!#REF!</definedName>
    <definedName name="Print_Area_MI_4_6">'[3]1_1'!#REF!</definedName>
    <definedName name="Print_Area_MI_4_7">'[3]1_1'!#REF!</definedName>
    <definedName name="Print_Area_MI_4_8">'[3]1_1'!#REF!</definedName>
    <definedName name="Print_Area_MI_4_9">'[3]1_1'!#REF!</definedName>
    <definedName name="PRINT_AREA_MI_5">NA()</definedName>
    <definedName name="Print_Area_MI_5_1_1">NA()</definedName>
    <definedName name="Print_Area_MI_5_10">NA()</definedName>
    <definedName name="Print_Area_MI_5_11">NA()</definedName>
    <definedName name="Print_Area_MI_5_12">NA()</definedName>
    <definedName name="Print_Area_MI_5_2">NA()</definedName>
    <definedName name="Print_Area_MI_5_3">NA()</definedName>
    <definedName name="Print_Area_MI_5_4">NA()</definedName>
    <definedName name="Print_Area_MI_5_5">NA()</definedName>
    <definedName name="Print_Area_MI_5_6">NA()</definedName>
    <definedName name="Print_Area_MI_5_7">NA()</definedName>
    <definedName name="Print_Area_MI_5_8">NA()</definedName>
    <definedName name="Print_Area_MI_5_9">NA()</definedName>
    <definedName name="PRINT_AREA_MI_6">NA()</definedName>
    <definedName name="Print_Area_MI_6_1">'[2]1_3:1_4'!#REF!</definedName>
    <definedName name="Print_Area_MI_6_1_1">'[3]1_3:1_4'!#REF!</definedName>
    <definedName name="Print_Area_MI_6_10">'[3]1_3:1_4'!#REF!</definedName>
    <definedName name="Print_Area_MI_6_11">'[3]1_3:1_4'!#REF!</definedName>
    <definedName name="Print_Area_MI_6_12">'[3]1_3:1_4'!#REF!</definedName>
    <definedName name="Print_Area_MI_6_2">'[3]1_3:1_4'!#REF!</definedName>
    <definedName name="Print_Area_MI_6_3">'[3]1_3:1_4'!#REF!</definedName>
    <definedName name="Print_Area_MI_6_4">'[3]1_3:1_4'!#REF!</definedName>
    <definedName name="Print_Area_MI_6_5">'[3]1_3:1_4'!#REF!</definedName>
    <definedName name="Print_Area_MI_6_6">'[3]1_3:1_4'!#REF!</definedName>
    <definedName name="Print_Area_MI_6_7">'[3]1_3:1_4'!#REF!</definedName>
    <definedName name="Print_Area_MI_6_8">'[3]1_3:1_4'!#REF!</definedName>
    <definedName name="Print_Area_MI_6_9">'[3]1_3:1_4'!#REF!</definedName>
    <definedName name="PRINT_AREA_MI_7">NA()</definedName>
    <definedName name="PRINT_AREA_MI_8">NA()</definedName>
    <definedName name="PRINT_AREA_MI_9">NA()</definedName>
    <definedName name="Print_Titles_MI">'1-1 (1)'!#REF!</definedName>
    <definedName name="Print_Titles_MI_1">'1-3 (1)'!#REF!</definedName>
    <definedName name="Print_Titles_MI_10">'[2]1_7:2_1'!#REF!</definedName>
    <definedName name="Print_Titles_MI_10_1">'[3]1_7:2_1'!#REF!</definedName>
    <definedName name="Print_Titles_MI_10_10">'[3]1_7:2_1'!#REF!</definedName>
    <definedName name="Print_Titles_MI_10_11">'[3]1_7:2_1'!#REF!</definedName>
    <definedName name="Print_Titles_MI_10_12">'[3]1_7:2_1'!#REF!</definedName>
    <definedName name="Print_Titles_MI_10_2">'[3]1_7:2_1'!#REF!</definedName>
    <definedName name="Print_Titles_MI_10_3">'[3]1_7:2_1'!#REF!</definedName>
    <definedName name="Print_Titles_MI_10_4">'[3]1_7:2_1'!#REF!</definedName>
    <definedName name="Print_Titles_MI_10_5">'[3]1_7:2_1'!#REF!</definedName>
    <definedName name="Print_Titles_MI_10_6">'[3]1_7:2_1'!#REF!</definedName>
    <definedName name="Print_Titles_MI_10_7">'[3]1_7:2_1'!#REF!</definedName>
    <definedName name="Print_Titles_MI_10_8">'[3]1_7:2_1'!#REF!</definedName>
    <definedName name="Print_Titles_MI_10_9">'[3]1_7:2_1'!#REF!</definedName>
    <definedName name="Print_Titles_MI_11">'[2]1_8:2_2'!#REF!</definedName>
    <definedName name="Print_Titles_MI_11_1">'[3]1_8:2_2'!#REF!</definedName>
    <definedName name="Print_Titles_MI_11_10">'[3]1_8:2_2'!#REF!</definedName>
    <definedName name="Print_Titles_MI_11_11">'[3]1_8:2_2'!#REF!</definedName>
    <definedName name="Print_Titles_MI_11_12">'[3]1_8:2_2'!#REF!</definedName>
    <definedName name="Print_Titles_MI_11_2">'[3]1_8:2_2'!#REF!</definedName>
    <definedName name="Print_Titles_MI_11_3">'[3]1_8:2_2'!#REF!</definedName>
    <definedName name="Print_Titles_MI_11_4">'[3]1_8:2_2'!#REF!</definedName>
    <definedName name="Print_Titles_MI_11_5">'[3]1_8:2_2'!#REF!</definedName>
    <definedName name="Print_Titles_MI_11_6">'[3]1_8:2_2'!#REF!</definedName>
    <definedName name="Print_Titles_MI_11_7">'[3]1_8:2_2'!#REF!</definedName>
    <definedName name="Print_Titles_MI_11_8">'[3]1_8:2_2'!#REF!</definedName>
    <definedName name="Print_Titles_MI_11_9">'[3]1_8:2_2'!#REF!</definedName>
    <definedName name="Print_Titles_MI_12">#REF!</definedName>
    <definedName name="Print_Titles_MI_13">'[2]2_1:2_7'!#REF!</definedName>
    <definedName name="Print_Titles_MI_13_1">'[3]2_1:2_7'!#REF!</definedName>
    <definedName name="Print_Titles_MI_13_10">'[3]2_1:2_7'!#REF!</definedName>
    <definedName name="Print_Titles_MI_13_11">'[3]2_1:2_7'!#REF!</definedName>
    <definedName name="Print_Titles_MI_13_12">'[3]2_1:2_7'!#REF!</definedName>
    <definedName name="Print_Titles_MI_13_2">'[3]2_1:2_7'!#REF!</definedName>
    <definedName name="Print_Titles_MI_13_3">'[3]2_1:2_7'!#REF!</definedName>
    <definedName name="Print_Titles_MI_13_4">'[3]2_1:2_7'!#REF!</definedName>
    <definedName name="Print_Titles_MI_13_5">'[3]2_1:2_7'!#REF!</definedName>
    <definedName name="Print_Titles_MI_13_6">'[3]2_1:2_7'!#REF!</definedName>
    <definedName name="Print_Titles_MI_13_7">'[3]2_1:2_7'!#REF!</definedName>
    <definedName name="Print_Titles_MI_13_8">'[3]2_1:2_7'!#REF!</definedName>
    <definedName name="Print_Titles_MI_13_9">'[3]2_1:2_7'!#REF!</definedName>
    <definedName name="Print_Titles_MI_14_16">#REF!</definedName>
    <definedName name="Print_Titles_MI_14_17">#REF!</definedName>
    <definedName name="Print_Titles_MI_14_23">#REF!</definedName>
    <definedName name="Print_Titles_MI_15_10">#REF!</definedName>
    <definedName name="Print_Titles_MI_15_11">#REF!</definedName>
    <definedName name="Print_Titles_MI_15_12">#REF!</definedName>
    <definedName name="Print_Titles_MI_15_13">#REF!</definedName>
    <definedName name="Print_Titles_MI_15_2">#REF!</definedName>
    <definedName name="Print_Titles_MI_15_3">#REF!</definedName>
    <definedName name="Print_Titles_MI_15_4">#REF!</definedName>
    <definedName name="Print_Titles_MI_15_5">#REF!</definedName>
    <definedName name="Print_Titles_MI_15_6">#REF!</definedName>
    <definedName name="Print_Titles_MI_15_7">#REF!</definedName>
    <definedName name="Print_Titles_MI_15_8">#REF!</definedName>
    <definedName name="Print_Titles_MI_15_9">#REF!</definedName>
    <definedName name="Print_Titles_MI_16_10">'2_4 (1)'!#REF!</definedName>
    <definedName name="Print_Titles_MI_16_11">'2_4 (1)'!#REF!</definedName>
    <definedName name="Print_Titles_MI_16_12">'2_4 (1)'!#REF!</definedName>
    <definedName name="Print_Titles_MI_16_13">'2_4 (1)'!#REF!</definedName>
    <definedName name="Print_Titles_MI_16_2">'2_4 (1)'!#REF!</definedName>
    <definedName name="Print_Titles_MI_16_3">'2_4 (1)'!#REF!</definedName>
    <definedName name="Print_Titles_MI_16_4">'2_4 (1)'!#REF!</definedName>
    <definedName name="Print_Titles_MI_16_5">'2_4 (1)'!#REF!</definedName>
    <definedName name="Print_Titles_MI_16_6">'2_4 (1)'!#REF!</definedName>
    <definedName name="Print_Titles_MI_16_7">'2_4 (1)'!#REF!</definedName>
    <definedName name="Print_Titles_MI_16_8">'2_4 (1)'!#REF!</definedName>
    <definedName name="Print_Titles_MI_16_9">'2_4 (1)'!#REF!</definedName>
    <definedName name="Print_Titles_MI_2">'1-7 (4)'!#REF!</definedName>
    <definedName name="Print_Titles_MI_22">#REF!</definedName>
    <definedName name="Print_Titles_MI_22_1">#REF!</definedName>
    <definedName name="Print_Titles_MI_22_10">#REF!</definedName>
    <definedName name="Print_Titles_MI_22_11">#REF!</definedName>
    <definedName name="Print_Titles_MI_22_12">#REF!</definedName>
    <definedName name="Print_Titles_MI_22_2">#REF!</definedName>
    <definedName name="Print_Titles_MI_22_3">#REF!</definedName>
    <definedName name="Print_Titles_MI_22_4">#REF!</definedName>
    <definedName name="Print_Titles_MI_22_5">#REF!</definedName>
    <definedName name="Print_Titles_MI_22_6">#REF!</definedName>
    <definedName name="Print_Titles_MI_22_7">#REF!</definedName>
    <definedName name="Print_Titles_MI_22_8">#REF!</definedName>
    <definedName name="Print_Titles_MI_22_9">#REF!</definedName>
    <definedName name="Print_Titles_MI_23">#REF!</definedName>
    <definedName name="Print_Titles_MI_23_1">#REF!</definedName>
    <definedName name="Print_Titles_MI_23_10">#REF!</definedName>
    <definedName name="Print_Titles_MI_23_11">#REF!</definedName>
    <definedName name="Print_Titles_MI_23_12">#REF!</definedName>
    <definedName name="Print_Titles_MI_23_2">#REF!</definedName>
    <definedName name="Print_Titles_MI_23_3">#REF!</definedName>
    <definedName name="Print_Titles_MI_23_4">#REF!</definedName>
    <definedName name="Print_Titles_MI_23_5">#REF!</definedName>
    <definedName name="Print_Titles_MI_23_6">#REF!</definedName>
    <definedName name="Print_Titles_MI_23_7">#REF!</definedName>
    <definedName name="Print_Titles_MI_23_8">#REF!</definedName>
    <definedName name="Print_Titles_MI_23_9">#REF!</definedName>
    <definedName name="Print_Titles_MI_25">#REF!</definedName>
    <definedName name="Print_Titles_MI_25_1">#REF!</definedName>
    <definedName name="Print_Titles_MI_25_10">#REF!</definedName>
    <definedName name="Print_Titles_MI_25_11">#REF!</definedName>
    <definedName name="Print_Titles_MI_25_12">#REF!</definedName>
    <definedName name="Print_Titles_MI_25_2">#REF!</definedName>
    <definedName name="Print_Titles_MI_25_3">#REF!</definedName>
    <definedName name="Print_Titles_MI_25_4">#REF!</definedName>
    <definedName name="Print_Titles_MI_25_5">#REF!</definedName>
    <definedName name="Print_Titles_MI_25_6">#REF!</definedName>
    <definedName name="Print_Titles_MI_25_7">#REF!</definedName>
    <definedName name="Print_Titles_MI_25_8">#REF!</definedName>
    <definedName name="Print_Titles_MI_25_9">#REF!</definedName>
    <definedName name="Print_Titles_MI_26">#REF!</definedName>
    <definedName name="Print_Titles_MI_26_1">#REF!</definedName>
    <definedName name="Print_Titles_MI_26_10">#REF!</definedName>
    <definedName name="Print_Titles_MI_26_11">#REF!</definedName>
    <definedName name="Print_Titles_MI_26_12">#REF!</definedName>
    <definedName name="Print_Titles_MI_26_2">#REF!</definedName>
    <definedName name="Print_Titles_MI_26_3">#REF!</definedName>
    <definedName name="Print_Titles_MI_26_4">#REF!</definedName>
    <definedName name="Print_Titles_MI_26_5">#REF!</definedName>
    <definedName name="Print_Titles_MI_26_6">#REF!</definedName>
    <definedName name="Print_Titles_MI_26_7">#REF!</definedName>
    <definedName name="Print_Titles_MI_26_8">#REF!</definedName>
    <definedName name="Print_Titles_MI_26_9">#REF!</definedName>
    <definedName name="Print_Titles_MI_27">#REF!</definedName>
    <definedName name="Print_Titles_MI_27_1">#REF!</definedName>
    <definedName name="Print_Titles_MI_27_10">#REF!</definedName>
    <definedName name="Print_Titles_MI_27_11">#REF!</definedName>
    <definedName name="Print_Titles_MI_27_12">#REF!</definedName>
    <definedName name="Print_Titles_MI_27_2">#REF!</definedName>
    <definedName name="Print_Titles_MI_27_3">#REF!</definedName>
    <definedName name="Print_Titles_MI_27_4">#REF!</definedName>
    <definedName name="Print_Titles_MI_27_5">#REF!</definedName>
    <definedName name="Print_Titles_MI_27_6">#REF!</definedName>
    <definedName name="Print_Titles_MI_27_7">#REF!</definedName>
    <definedName name="Print_Titles_MI_27_8">#REF!</definedName>
    <definedName name="Print_Titles_MI_27_9">#REF!</definedName>
    <definedName name="Print_Titles_MI_28">#REF!</definedName>
    <definedName name="Print_Titles_MI_28_1">#REF!</definedName>
    <definedName name="Print_Titles_MI_28_10">#REF!</definedName>
    <definedName name="Print_Titles_MI_28_11">#REF!</definedName>
    <definedName name="Print_Titles_MI_28_12">#REF!</definedName>
    <definedName name="Print_Titles_MI_28_2">#REF!</definedName>
    <definedName name="Print_Titles_MI_28_3">#REF!</definedName>
    <definedName name="Print_Titles_MI_28_4">#REF!</definedName>
    <definedName name="Print_Titles_MI_28_5">#REF!</definedName>
    <definedName name="Print_Titles_MI_28_6">#REF!</definedName>
    <definedName name="Print_Titles_MI_28_7">#REF!</definedName>
    <definedName name="Print_Titles_MI_28_8">#REF!</definedName>
    <definedName name="Print_Titles_MI_28_9">#REF!</definedName>
    <definedName name="Print_Titles_MI_29">#REF!</definedName>
    <definedName name="Print_Titles_MI_29_1">#REF!</definedName>
    <definedName name="Print_Titles_MI_29_10">#REF!</definedName>
    <definedName name="Print_Titles_MI_29_11">#REF!</definedName>
    <definedName name="Print_Titles_MI_29_12">#REF!</definedName>
    <definedName name="Print_Titles_MI_29_2">#REF!</definedName>
    <definedName name="Print_Titles_MI_29_3">#REF!</definedName>
    <definedName name="Print_Titles_MI_29_4">#REF!</definedName>
    <definedName name="Print_Titles_MI_29_5">#REF!</definedName>
    <definedName name="Print_Titles_MI_29_6">#REF!</definedName>
    <definedName name="Print_Titles_MI_29_7">#REF!</definedName>
    <definedName name="Print_Titles_MI_29_8">#REF!</definedName>
    <definedName name="Print_Titles_MI_29_9">#REF!</definedName>
    <definedName name="Print_Titles_MI_3">#REF!</definedName>
    <definedName name="Print_Titles_MI_30">#REF!</definedName>
    <definedName name="Print_Titles_MI_30_1">#REF!</definedName>
    <definedName name="Print_Titles_MI_30_10">#REF!</definedName>
    <definedName name="Print_Titles_MI_30_11">#REF!</definedName>
    <definedName name="Print_Titles_MI_30_12">#REF!</definedName>
    <definedName name="Print_Titles_MI_30_2">#REF!</definedName>
    <definedName name="Print_Titles_MI_30_3">#REF!</definedName>
    <definedName name="Print_Titles_MI_30_4">#REF!</definedName>
    <definedName name="Print_Titles_MI_30_5">#REF!</definedName>
    <definedName name="Print_Titles_MI_30_6">#REF!</definedName>
    <definedName name="Print_Titles_MI_30_7">#REF!</definedName>
    <definedName name="Print_Titles_MI_30_8">#REF!</definedName>
    <definedName name="Print_Titles_MI_30_9">#REF!</definedName>
    <definedName name="Print_Titles_MI_4">#REF!</definedName>
    <definedName name="Print_Titles_MI_4_1">'[2]1_1'!#REF!</definedName>
    <definedName name="Print_Titles_MI_4_1_1">'[3]1_1'!#REF!</definedName>
    <definedName name="Print_Titles_MI_4_10">'[3]1_1'!#REF!</definedName>
    <definedName name="Print_Titles_MI_4_11">'[3]1_1'!#REF!</definedName>
    <definedName name="Print_Titles_MI_4_12">'[3]1_1'!#REF!</definedName>
    <definedName name="Print_Titles_MI_4_2">'[3]1_1'!#REF!</definedName>
    <definedName name="Print_Titles_MI_4_3">'[3]1_1'!#REF!</definedName>
    <definedName name="Print_Titles_MI_4_4">'[3]1_1'!#REF!</definedName>
    <definedName name="Print_Titles_MI_4_5">'[3]1_1'!#REF!</definedName>
    <definedName name="Print_Titles_MI_4_6">'[3]1_1'!#REF!</definedName>
    <definedName name="Print_Titles_MI_4_7">'[3]1_1'!#REF!</definedName>
    <definedName name="Print_Titles_MI_4_8">'[3]1_1'!#REF!</definedName>
    <definedName name="Print_Titles_MI_4_9">'[3]1_1'!#REF!</definedName>
    <definedName name="Print_Titles_MI_5_1">NA()</definedName>
    <definedName name="Print_Titles_MI_5_10">NA()</definedName>
    <definedName name="Print_Titles_MI_5_11">NA()</definedName>
    <definedName name="Print_Titles_MI_5_12">NA()</definedName>
    <definedName name="Print_Titles_MI_5_2">NA()</definedName>
    <definedName name="Print_Titles_MI_5_3">NA()</definedName>
    <definedName name="Print_Titles_MI_5_4">NA()</definedName>
    <definedName name="Print_Titles_MI_5_5">NA()</definedName>
    <definedName name="Print_Titles_MI_5_6">NA()</definedName>
    <definedName name="Print_Titles_MI_5_7">NA()</definedName>
    <definedName name="Print_Titles_MI_5_8">NA()</definedName>
    <definedName name="Print_Titles_MI_5_9">NA()</definedName>
    <definedName name="Print_Titles_MI_6">'[2]1_3:1_4'!#REF!</definedName>
    <definedName name="Print_Titles_MI_6_1">'[3]1_3:1_4'!#REF!</definedName>
    <definedName name="Print_Titles_MI_6_10">'[3]1_3:1_4'!#REF!</definedName>
    <definedName name="Print_Titles_MI_6_11">'[3]1_3:1_4'!#REF!</definedName>
    <definedName name="Print_Titles_MI_6_12">'[3]1_3:1_4'!#REF!</definedName>
    <definedName name="Print_Titles_MI_6_2">'[3]1_3:1_4'!#REF!</definedName>
    <definedName name="Print_Titles_MI_6_3">'[3]1_3:1_4'!#REF!</definedName>
    <definedName name="Print_Titles_MI_6_4">'[3]1_3:1_4'!#REF!</definedName>
    <definedName name="Print_Titles_MI_6_5">'[3]1_3:1_4'!#REF!</definedName>
    <definedName name="Print_Titles_MI_6_6">'[3]1_3:1_4'!#REF!</definedName>
    <definedName name="Print_Titles_MI_6_7">'[3]1_3:1_4'!#REF!</definedName>
    <definedName name="Print_Titles_MI_6_8">'[3]1_3:1_4'!#REF!</definedName>
    <definedName name="Print_Titles_MI_6_9">'[3]1_3:1_4'!#REF!</definedName>
    <definedName name="Projektname">#REF!</definedName>
    <definedName name="Projektname_1">#REF!</definedName>
    <definedName name="Projektname_10">#REF!</definedName>
    <definedName name="Projektname_11">#REF!</definedName>
    <definedName name="Projektname_12">#REF!</definedName>
    <definedName name="Projektname_13">#REF!</definedName>
    <definedName name="Projektname_14">#REF!</definedName>
    <definedName name="Projektname_15">#REF!</definedName>
    <definedName name="Projektname_16">#REF!</definedName>
    <definedName name="Projektname_17">#REF!</definedName>
    <definedName name="Projektname_18">#REF!</definedName>
    <definedName name="Projektname_19">#REF!</definedName>
    <definedName name="Projektname_2">#REF!</definedName>
    <definedName name="Projektname_20">#REF!</definedName>
    <definedName name="Projektname_21">#REF!</definedName>
    <definedName name="Projektname_22">#REF!</definedName>
    <definedName name="Projektname_3">#REF!</definedName>
    <definedName name="Projektname_4">#REF!</definedName>
    <definedName name="Projektname_5">#REF!</definedName>
    <definedName name="Projektname_6">#REF!</definedName>
    <definedName name="Projektname_7">#REF!</definedName>
    <definedName name="Projektname_8">#REF!</definedName>
    <definedName name="Projektname_9">#REF!</definedName>
    <definedName name="q">#REF!</definedName>
    <definedName name="q_1">#REF!</definedName>
    <definedName name="q_2">#REF!</definedName>
    <definedName name="q_3">#REF!</definedName>
    <definedName name="q_4">#REF!</definedName>
    <definedName name="q_5">#REF!</definedName>
    <definedName name="q_6">#REF!</definedName>
    <definedName name="q_7">#REF!</definedName>
    <definedName name="q_8">#REF!</definedName>
    <definedName name="qw">#REF!</definedName>
    <definedName name="qw_1">#REF!</definedName>
    <definedName name="qw_2">#REF!</definedName>
    <definedName name="qw_3">#REF!</definedName>
    <definedName name="qw_4">#REF!</definedName>
    <definedName name="qw_5">#REF!</definedName>
    <definedName name="qw_6">#REF!</definedName>
    <definedName name="qw_7">#REF!</definedName>
    <definedName name="qw_8">#REF!</definedName>
    <definedName name="qw_9">#REF!</definedName>
    <definedName name="sum5">#REF!</definedName>
    <definedName name="sum5_1">#REF!</definedName>
    <definedName name="sum5_10">#REF!</definedName>
    <definedName name="sum5_11">#REF!</definedName>
    <definedName name="sum5_12">#REF!</definedName>
    <definedName name="sum5_13">#REF!</definedName>
    <definedName name="sum5_14">#REF!</definedName>
    <definedName name="sum5_15">#REF!</definedName>
    <definedName name="sum5_16">#REF!</definedName>
    <definedName name="sum5_17">#REF!</definedName>
    <definedName name="sum5_18">#REF!</definedName>
    <definedName name="sum5_19">#REF!</definedName>
    <definedName name="sum5_2">#REF!</definedName>
    <definedName name="sum5_20">#REF!</definedName>
    <definedName name="sum5_21">#REF!</definedName>
    <definedName name="sum5_22">#REF!</definedName>
    <definedName name="sum5_3">#REF!</definedName>
    <definedName name="sum5_4">#REF!</definedName>
    <definedName name="sum5_5">#REF!</definedName>
    <definedName name="sum5_6">#REF!</definedName>
    <definedName name="sum5_7">#REF!</definedName>
    <definedName name="sum5_8">#REF!</definedName>
    <definedName name="sum5_9">#REF!</definedName>
    <definedName name="Titul">#REF!</definedName>
    <definedName name="Titul_1">#REF!</definedName>
    <definedName name="Titul_10">#REF!</definedName>
    <definedName name="Titul_11">#REF!</definedName>
    <definedName name="Titul_12">#REF!</definedName>
    <definedName name="Titul_13">#REF!</definedName>
    <definedName name="Titul_14">#REF!</definedName>
    <definedName name="Titul_15">#REF!</definedName>
    <definedName name="Titul_16">#REF!</definedName>
    <definedName name="Titul_17">#REF!</definedName>
    <definedName name="Titul_18">#REF!</definedName>
    <definedName name="Titul_19">#REF!</definedName>
    <definedName name="Titul_2">#REF!</definedName>
    <definedName name="Titul_20">#REF!</definedName>
    <definedName name="Titul_21">#REF!</definedName>
    <definedName name="Titul_22">#REF!</definedName>
    <definedName name="Titul_3">#REF!</definedName>
    <definedName name="Titul_4">#REF!</definedName>
    <definedName name="Titul_5">#REF!</definedName>
    <definedName name="Titul_6">#REF!</definedName>
    <definedName name="Titul_7">#REF!</definedName>
    <definedName name="Titul_8">#REF!</definedName>
    <definedName name="Titul_9">#REF!</definedName>
    <definedName name="Währungsfaktor">#REF!</definedName>
    <definedName name="Währungsfaktor_1">#REF!</definedName>
    <definedName name="Währungsfaktor_10">#REF!</definedName>
    <definedName name="Währungsfaktor_11">#REF!</definedName>
    <definedName name="Währungsfaktor_12">#REF!</definedName>
    <definedName name="Währungsfaktor_13">#REF!</definedName>
    <definedName name="Währungsfaktor_14">#REF!</definedName>
    <definedName name="Währungsfaktor_15">#REF!</definedName>
    <definedName name="Währungsfaktor_16">#REF!</definedName>
    <definedName name="Währungsfaktor_17">#REF!</definedName>
    <definedName name="Währungsfaktor_18">#REF!</definedName>
    <definedName name="Währungsfaktor_19">#REF!</definedName>
    <definedName name="Währungsfaktor_2">#REF!</definedName>
    <definedName name="Währungsfaktor_20">#REF!</definedName>
    <definedName name="Währungsfaktor_21">#REF!</definedName>
    <definedName name="Währungsfaktor_22">#REF!</definedName>
    <definedName name="Währungsfaktor_3">#REF!</definedName>
    <definedName name="Währungsfaktor_4">#REF!</definedName>
    <definedName name="Währungsfaktor_5">#REF!</definedName>
    <definedName name="Währungsfaktor_6">#REF!</definedName>
    <definedName name="Währungsfaktor_7">#REF!</definedName>
    <definedName name="Währungsfaktor_8">#REF!</definedName>
    <definedName name="Währungsfaktor_9">#REF!</definedName>
  </definedNames>
  <calcPr fullCalcOnLoad="1"/>
</workbook>
</file>

<file path=xl/sharedStrings.xml><?xml version="1.0" encoding="utf-8"?>
<sst xmlns="http://schemas.openxmlformats.org/spreadsheetml/2006/main" count="1593" uniqueCount="862">
  <si>
    <t>APSTIPRINU</t>
  </si>
  <si>
    <t>__________________________________</t>
  </si>
  <si>
    <t>(pasūtītāja paraksts un tā atšifrējums)</t>
  </si>
  <si>
    <t>Z.V.</t>
  </si>
  <si>
    <t>Nr.p.k.</t>
  </si>
  <si>
    <t>Objekta nosaukums</t>
  </si>
  <si>
    <t>Objekta izmaksas (Ls)</t>
  </si>
  <si>
    <t>Kopā:</t>
  </si>
  <si>
    <t>PAVISAM KOPĀ:</t>
  </si>
  <si>
    <t>Sastādīja:</t>
  </si>
  <si>
    <t>(paraksts un tā atšifrējums, datums)</t>
  </si>
  <si>
    <t>Sertifikāta Nr.:</t>
  </si>
  <si>
    <t>KOPSAVILKUMA APRĒĶINI PA DARBU VAI KONSTRUKTĪVO ELEMENTU VEIDIEM</t>
  </si>
  <si>
    <t>(darba veids vai konstruktīvā elementa nosaukums)</t>
  </si>
  <si>
    <t xml:space="preserve">Par kopējo summu, Ls </t>
  </si>
  <si>
    <t>Kopējā darbietilpība c/h</t>
  </si>
  <si>
    <t>Kods, tāmes Nr.</t>
  </si>
  <si>
    <t>Darba veids vai konstruktīvā elementa nosaukums</t>
  </si>
  <si>
    <t>Tāmes izmaksas (Ls)</t>
  </si>
  <si>
    <t>Tai skaitā</t>
  </si>
  <si>
    <t>Darbie-tilpība (c/h)</t>
  </si>
  <si>
    <t>Darba alga (Ls)</t>
  </si>
  <si>
    <t>Materiāli (Ls)</t>
  </si>
  <si>
    <t>Mehānismi (Ls)</t>
  </si>
  <si>
    <t>1-1.1</t>
  </si>
  <si>
    <t>1-5.2</t>
  </si>
  <si>
    <t>1-3.1</t>
  </si>
  <si>
    <t>2-1.1</t>
  </si>
  <si>
    <t>2-2.1</t>
  </si>
  <si>
    <t>2-4.1</t>
  </si>
  <si>
    <t>2-5.1</t>
  </si>
  <si>
    <t>2-6.1</t>
  </si>
  <si>
    <t>3-1.1</t>
  </si>
  <si>
    <t>t.sk. darba aizsardzība</t>
  </si>
  <si>
    <t>Darba devēja sociālais nodoklis (24,09%)</t>
  </si>
  <si>
    <t>2013. gada ___. _______________________</t>
  </si>
  <si>
    <t>BŪVNIECĪBAS KOPTĀME</t>
  </si>
  <si>
    <t xml:space="preserve">Tāme sastādīta 2013.gada </t>
  </si>
  <si>
    <t xml:space="preserve"> Tautas nama "Kalngravas" rekonstrukcija</t>
  </si>
  <si>
    <t>PVN (21%)</t>
  </si>
  <si>
    <t>PAVISAM BŪVNIECĪBAS IZMAKSAS:</t>
  </si>
  <si>
    <t>Lokālā tāme Nr.1-1.1 (izmaiņas 22.01.2013)</t>
  </si>
  <si>
    <t>BŪVLAUKUMA IEKĀRTOŠANA, UZTURĒŠANA UN DEMONTĀŽA – 2.kārta</t>
  </si>
  <si>
    <t xml:space="preserve">Būves nosaukums:     Tautas nama "Kalngravas" rekonstrukcija- 2. kārta </t>
  </si>
  <si>
    <t>Objekta nosaukums:  Tautas nama "Kalngravas" rekonstrukcija</t>
  </si>
  <si>
    <t>Būves adrese:             Kalngravas 1, Sarkaņu pagasts, Madonas novads</t>
  </si>
  <si>
    <r>
      <t xml:space="preserve">Tāme sastādīta </t>
    </r>
    <r>
      <rPr>
        <b/>
        <sz val="12"/>
        <rFont val="Arial"/>
        <family val="2"/>
      </rPr>
      <t xml:space="preserve">2013. </t>
    </r>
    <r>
      <rPr>
        <sz val="12"/>
        <rFont val="Arial"/>
        <family val="2"/>
      </rPr>
      <t xml:space="preserve">gada tirgus cenās, pamatojoties uz </t>
    </r>
    <r>
      <rPr>
        <b/>
        <sz val="12"/>
        <rFont val="Arial"/>
        <family val="2"/>
      </rPr>
      <t>GP, AR, BK</t>
    </r>
    <r>
      <rPr>
        <sz val="12"/>
        <rFont val="Arial"/>
        <family val="2"/>
      </rPr>
      <t xml:space="preserve"> daļas rasējumiem</t>
    </r>
  </si>
  <si>
    <t>Tāmes izmaksas:</t>
  </si>
  <si>
    <t>Kods</t>
  </si>
  <si>
    <t>Darba nosaukums</t>
  </si>
  <si>
    <t>Mērvienība</t>
  </si>
  <si>
    <t>Daudzums</t>
  </si>
  <si>
    <t xml:space="preserve">    Vienības izmaksas</t>
  </si>
  <si>
    <t>Kopā uz visu apjomu</t>
  </si>
  <si>
    <t>laika norma, c/h</t>
  </si>
  <si>
    <t>darba samaksas likme, Ls/h</t>
  </si>
  <si>
    <t>darba alga, Ls</t>
  </si>
  <si>
    <t>materiāli, Ls</t>
  </si>
  <si>
    <t>mehānismi, Ls</t>
  </si>
  <si>
    <t>kopā, Ls</t>
  </si>
  <si>
    <t>darbietilpība, c/h</t>
  </si>
  <si>
    <t>summa, Ls</t>
  </si>
  <si>
    <t>01-1</t>
  </si>
  <si>
    <t>t.m.</t>
  </si>
  <si>
    <t>gb.</t>
  </si>
  <si>
    <r>
      <t>m</t>
    </r>
    <r>
      <rPr>
        <vertAlign val="superscript"/>
        <sz val="12"/>
        <rFont val="Arial"/>
        <family val="2"/>
      </rPr>
      <t>3</t>
    </r>
  </si>
  <si>
    <t>Telpas 16, 17, 18, 19</t>
  </si>
  <si>
    <t>01-8</t>
  </si>
  <si>
    <t>Esošās santehnikas demontāža</t>
  </si>
  <si>
    <t>01-9</t>
  </si>
  <si>
    <t>Esošās apdares demontāža</t>
  </si>
  <si>
    <t>Tiešās izmaksas kopā:</t>
  </si>
  <si>
    <t>Pārbaudīja:</t>
  </si>
  <si>
    <t>B</t>
  </si>
  <si>
    <t>H</t>
  </si>
  <si>
    <t>BxH</t>
  </si>
  <si>
    <t xml:space="preserve"> 2x(B+H)</t>
  </si>
  <si>
    <t>Logi</t>
  </si>
  <si>
    <t>L-1 plastikāta rāmji,ar stikla paketi 1 vērtni 970x570 mm ARD-5</t>
  </si>
  <si>
    <t>L-1' plastikāta rāmji,ar stikla paketi 1 vērtni 970x570 mm ARD-5</t>
  </si>
  <si>
    <t>L-2 plastikāta rāmji,ar stikla paketi 1 vērtni 2970x570 mm ARD-5</t>
  </si>
  <si>
    <t>L-3 plastikāta rāmji,ar stikla paketi neverams  530x1770 mm ARD-5</t>
  </si>
  <si>
    <t>L-5 plastikāta rāmji,ar stikla paketi 1 vērtni  770x1770 mm ARD-5</t>
  </si>
  <si>
    <t>L-5' plastikāta rāmji,ar stikla paketi 1 vērtni  770x1770 mm ARD-5</t>
  </si>
  <si>
    <t>L-6 plastikāta rāmji,ar stikla paketi 1 vērtni 1170x1770 mm ARD-5</t>
  </si>
  <si>
    <t>L-6' plastikāta rāmji,ar stikla paketi 1 vērtni 1170x1770 mm ARD-5</t>
  </si>
  <si>
    <t>L-7 plastikāta rāmji,ar stikla paketi 2 vērtnēm 1570x1770 mm ARD-5</t>
  </si>
  <si>
    <t>L-7' plastikāta rāmji,ar stikla paketi 2 vērtnēm 1570x1770 mm ARD-5</t>
  </si>
  <si>
    <t>L-8 plastikāta rāmji,ar stikla paketi neverams 1170x2070 mm ARD-5</t>
  </si>
  <si>
    <t>L-8',L-8'' plastikāta rāmji,ar stikla paketi 1 vērtni 1170x2070 mm ARD-5</t>
  </si>
  <si>
    <t>L-9 plastikāta rāmji,stikla paketes pildījumu  970x570 mm ARD-5</t>
  </si>
  <si>
    <t>L-10 plastikāta rāmji,ar stikla paketi 2 vērtnēm 2620x2070 mm ARD-5</t>
  </si>
  <si>
    <t>L-11 plastikāta rāmji,ar stikla paketi 1 vērtni 770x3370 mm ARD-5</t>
  </si>
  <si>
    <t>L-12 plastikāta rāmji,ar stikla paketi 2 vērtnes 2620x1650 mm ARD-5</t>
  </si>
  <si>
    <t>L-13 plastikāta rāmji,ar stikla paketi 1 vērtni 920x1870 mm ARD-5</t>
  </si>
  <si>
    <t>L-14 plastikāta rāmji,ar stikla paketi neverams 1850x1570 mm ARD-5</t>
  </si>
  <si>
    <t>L-4 plastikāta rāmji,ar stikla paketi 1 vērtni 970x1770 mm ARD-5</t>
  </si>
  <si>
    <t>Stikla fasādes ARD-7,8</t>
  </si>
  <si>
    <t>SF-1 stikla fasāde alumīnija neverama 2530x2920 mm ARD-7</t>
  </si>
  <si>
    <t>SF-3 stikla fasāde alumīnija,2 vērtnēm 3470x2920 m ARD-7</t>
  </si>
  <si>
    <t>SF-5 stikla fasāde alumīnija,2 durvīm 1120x6500 m ARD-7</t>
  </si>
  <si>
    <t>SF-6 stikla fasāde alumīnija,1 durvīm 1230x6500 m ARD-7</t>
  </si>
  <si>
    <t>SF-2,2"" stikla fasāde alumīnija neverama 3020x2920 mm ARD-7</t>
  </si>
  <si>
    <t>SF-7 stikla fasāde alumīnija,4 vērtnēm 2300x6500 m ARD-6</t>
  </si>
  <si>
    <t>SF-12 stikla fasāde alumīnija,1 vērtni 970x3370 m ARD-8</t>
  </si>
  <si>
    <t>SF-11 stikla fasāde alumīnija,neverama 1100x5600 m ARD-8</t>
  </si>
  <si>
    <t>SF-4 stikla fasāde alumīnija,4 vērtnes 2300x6500 m ARD-7</t>
  </si>
  <si>
    <t>SF-8 stikla fasāde alumīnija,2 vērtnēm 700x6100 m ARD-8</t>
  </si>
  <si>
    <t>SF-9 stikla fasāde alumīnija,1 durvīm,4 vērtnē 3050x7050 m ARD-8</t>
  </si>
  <si>
    <t>SF-10 stikla fasāde alumīnija,1 durvīm,1 vērtne 1100x7380 m ARD-8</t>
  </si>
  <si>
    <t>Ārdurvis un vārti ARD-10</t>
  </si>
  <si>
    <t xml:space="preserve"> ĀD-1,plastikāta konstrukcija ar stiklojumu 1570x2570 m ĀRD-10</t>
  </si>
  <si>
    <t xml:space="preserve"> ĀD-2,plastikāta konstrukcija ar stikolojumu 980x2570 m ĀRD-10</t>
  </si>
  <si>
    <t xml:space="preserve"> ĀD-3,plastikāta konstrukcija ar stiklojumu 1770x2570 m ĀRD-10 SĒ</t>
  </si>
  <si>
    <t xml:space="preserve"> ĀD-4,plastikāta konstrukcija ar stiklojumu 1370x2070 m ĀRD-10 SĒ</t>
  </si>
  <si>
    <t xml:space="preserve"> ĀD-5,gluda plastikāta konstrukcija 970x2070 m ĀRD-10 SĒ</t>
  </si>
  <si>
    <t xml:space="preserve"> ĀD-6,gluda plastikāta konstrukcija 1770x2070 m ĀRD-10 SĒ</t>
  </si>
  <si>
    <t xml:space="preserve"> ĀD-7,plastikāta konstrukcija ar stikolojumu 970x2070 m ĀRD-10</t>
  </si>
  <si>
    <t xml:space="preserve"> V-1,paceļamie vārti 2370x2370 m ĀRD-10 SĒ</t>
  </si>
  <si>
    <t>Stiklotas starpsienas ARD-9</t>
  </si>
  <si>
    <t>A-1 stiklota starpsiena alumīnija rāmjos 2 vērtnes 2770x2920 mm ARD-9</t>
  </si>
  <si>
    <t>A-2 stiklota starpsiena saplākšņa profilos neverama 2965x2670 mm ARD-9</t>
  </si>
  <si>
    <t>A-3 stiklota starpsiena saplākšņa profilos 2 vērtnes2855x2670 mm ARD-9</t>
  </si>
  <si>
    <t>A-4 stiklota starpsiena saplākšņa profilos neverama 2100x2270 mm ARD-9</t>
  </si>
  <si>
    <t>A-5 stiklota starpsiena saplākšņa profilos 1 vērtne 2010x2270 mm ARD-9</t>
  </si>
  <si>
    <t>A-6 stiklota starpsiena saplākšņa profilos neverama 1665x2270 mm ARD-9</t>
  </si>
  <si>
    <t>A-7 stiklota starpsiena saplākšņa profilos 1 vērtne 1000x2270 mm ARD-9</t>
  </si>
  <si>
    <t xml:space="preserve">Ūdens pzemināsana  2 sūkņi                                             </t>
  </si>
  <si>
    <t>dienas</t>
  </si>
  <si>
    <t>Sūkņu iekartu montāža un demontāža</t>
  </si>
  <si>
    <t>kompl</t>
  </si>
  <si>
    <t>1, stāva plāns AR-11,AR-12</t>
  </si>
  <si>
    <t>Ieejas vestibīla un komunikāciju telpu grupa</t>
  </si>
  <si>
    <t>K1</t>
  </si>
  <si>
    <t>Vējtveris</t>
  </si>
  <si>
    <t>K2</t>
  </si>
  <si>
    <t>Vestibils ar centrālajām kāpnēm</t>
  </si>
  <si>
    <t>K3</t>
  </si>
  <si>
    <t>Lifta šahta</t>
  </si>
  <si>
    <t>K4</t>
  </si>
  <si>
    <t>Rekreācijas telpa</t>
  </si>
  <si>
    <t>K5</t>
  </si>
  <si>
    <t>Gaitenis</t>
  </si>
  <si>
    <t>K6</t>
  </si>
  <si>
    <t>K7</t>
  </si>
  <si>
    <t>K8</t>
  </si>
  <si>
    <t>Siltumtīkla ievadtelpa</t>
  </si>
  <si>
    <t>K9</t>
  </si>
  <si>
    <t>WC</t>
  </si>
  <si>
    <t>K10</t>
  </si>
  <si>
    <t>K11</t>
  </si>
  <si>
    <t>K12</t>
  </si>
  <si>
    <t>Evakuācijas kāpņu telpa</t>
  </si>
  <si>
    <t>K13</t>
  </si>
  <si>
    <t>K14</t>
  </si>
  <si>
    <t>Administrācijas telpu grupa</t>
  </si>
  <si>
    <t>A1</t>
  </si>
  <si>
    <t>Biroja administratora kabinets</t>
  </si>
  <si>
    <t>A2</t>
  </si>
  <si>
    <t>Grāmatvedības un personāla daļas kabinets</t>
  </si>
  <si>
    <t>A3</t>
  </si>
  <si>
    <t>Galvenā ārsta kabinets</t>
  </si>
  <si>
    <t>A4</t>
  </si>
  <si>
    <t>Personāla garderobe</t>
  </si>
  <si>
    <t>A5</t>
  </si>
  <si>
    <t>Sanāksmju telpa</t>
  </si>
  <si>
    <t>Neatliekamās medicīnas palīdzības un užnemšanas nodaļas telpu grupa</t>
  </si>
  <si>
    <t>U1</t>
  </si>
  <si>
    <t>Reģistratūra ar garderobi</t>
  </si>
  <si>
    <t>U2</t>
  </si>
  <si>
    <t>Mazā satikšanās telpa</t>
  </si>
  <si>
    <t>U3</t>
  </si>
  <si>
    <t>U4</t>
  </si>
  <si>
    <t>Procedūru un ekspress-diagnostikas kabinets</t>
  </si>
  <si>
    <t>U5</t>
  </si>
  <si>
    <t>Ārsta un vakcinācijas kbinets</t>
  </si>
  <si>
    <t>U6</t>
  </si>
  <si>
    <t>Izolācijas telpa</t>
  </si>
  <si>
    <t>U7</t>
  </si>
  <si>
    <t>WC ar dušu</t>
  </si>
  <si>
    <t>U8</t>
  </si>
  <si>
    <t>Netīrās veļas konteinera telpa</t>
  </si>
  <si>
    <t>Medicīnas personāla telpu grupa</t>
  </si>
  <si>
    <t>M1</t>
  </si>
  <si>
    <t>Galvenās māsas kabinets</t>
  </si>
  <si>
    <t>M2</t>
  </si>
  <si>
    <t>Medikamentu glabātuve</t>
  </si>
  <si>
    <t>M3</t>
  </si>
  <si>
    <t>Arhīvs</t>
  </si>
  <si>
    <t>M4</t>
  </si>
  <si>
    <t>Medicīnas personāla atpūtas telpa</t>
  </si>
  <si>
    <t>M5</t>
  </si>
  <si>
    <t>Sociālā darbinieka kabinets</t>
  </si>
  <si>
    <t>M6</t>
  </si>
  <si>
    <t>Medicīnas personāla garderobe 6 cilvēkiem</t>
  </si>
  <si>
    <t>M7</t>
  </si>
  <si>
    <t>Duša</t>
  </si>
  <si>
    <t>M8</t>
  </si>
  <si>
    <t>M9</t>
  </si>
  <si>
    <t>Medicīnas personāla garderobe 20 cilvēkiem</t>
  </si>
  <si>
    <t>M10</t>
  </si>
  <si>
    <t>M11</t>
  </si>
  <si>
    <t>M12</t>
  </si>
  <si>
    <t>M13</t>
  </si>
  <si>
    <t>Ārsta kabinets</t>
  </si>
  <si>
    <t>M14</t>
  </si>
  <si>
    <t>M15</t>
  </si>
  <si>
    <t>M16</t>
  </si>
  <si>
    <t>M17</t>
  </si>
  <si>
    <t>M18</t>
  </si>
  <si>
    <t>Servera telpa</t>
  </si>
  <si>
    <t>Rehabilitācijas un nodarbību  telpu grupa</t>
  </si>
  <si>
    <t>R1</t>
  </si>
  <si>
    <t>Masāžas kabinets</t>
  </si>
  <si>
    <t>R2</t>
  </si>
  <si>
    <t>Ūdens terapijas telpa</t>
  </si>
  <si>
    <t>R3</t>
  </si>
  <si>
    <t>R4</t>
  </si>
  <si>
    <t>Sporta terapijas telpa</t>
  </si>
  <si>
    <t>R5</t>
  </si>
  <si>
    <t>Sporta inventāra telpa</t>
  </si>
  <si>
    <t>Ēdnīcas  telpu grupa</t>
  </si>
  <si>
    <t>E1</t>
  </si>
  <si>
    <t>Ēdamzāle</t>
  </si>
  <si>
    <t>E2</t>
  </si>
  <si>
    <t>Karstais cehs</t>
  </si>
  <si>
    <t>E3</t>
  </si>
  <si>
    <t>Trauku mazgātauve</t>
  </si>
  <si>
    <t>E4</t>
  </si>
  <si>
    <t>Aukstais cehs</t>
  </si>
  <si>
    <t>E5</t>
  </si>
  <si>
    <t>Sakņu pirmapstrādes telpa</t>
  </si>
  <si>
    <t>E6</t>
  </si>
  <si>
    <t>Sauso produktu noliktava</t>
  </si>
  <si>
    <t>E7</t>
  </si>
  <si>
    <t>Virtuves personāla garderobe 3 cilvēkiem</t>
  </si>
  <si>
    <t>E8</t>
  </si>
  <si>
    <t>E9</t>
  </si>
  <si>
    <t>E10</t>
  </si>
  <si>
    <t>E11</t>
  </si>
  <si>
    <t>Saimniecības telpu grupa</t>
  </si>
  <si>
    <t>S1</t>
  </si>
  <si>
    <t>Saimniecības māsas kabinets</t>
  </si>
  <si>
    <t>S2</t>
  </si>
  <si>
    <t>Saimniecības personāla atpūtas telpa</t>
  </si>
  <si>
    <t>S3</t>
  </si>
  <si>
    <t>Saimniecības personāla garderobe 5 cilvēkiem</t>
  </si>
  <si>
    <t>S4</t>
  </si>
  <si>
    <t>S5</t>
  </si>
  <si>
    <t>S6</t>
  </si>
  <si>
    <t>Saimniecības inventār glabātuve</t>
  </si>
  <si>
    <t>S7</t>
  </si>
  <si>
    <t>Apkopēja inventāra telpa</t>
  </si>
  <si>
    <t>S8</t>
  </si>
  <si>
    <t>Saimniecības personāla garderobe 10 cilvēkiem</t>
  </si>
  <si>
    <t>S9</t>
  </si>
  <si>
    <t>S10</t>
  </si>
  <si>
    <t>S11</t>
  </si>
  <si>
    <t>S12</t>
  </si>
  <si>
    <t>Pacientu mantu glabātuve</t>
  </si>
  <si>
    <t>Saimniecības ēka AR-12</t>
  </si>
  <si>
    <t>Garāža</t>
  </si>
  <si>
    <t>Veļas mazgātava</t>
  </si>
  <si>
    <t>Darbnīca</t>
  </si>
  <si>
    <t>Saimniecības priekšmetu glabātuve</t>
  </si>
  <si>
    <t>Apkures katlu telpa</t>
  </si>
  <si>
    <t>Cisternuu telpa</t>
  </si>
  <si>
    <t>2, stāva plāns AR-13</t>
  </si>
  <si>
    <t>Vestibila un komunikāciju  telpu grupa</t>
  </si>
  <si>
    <t>Kāpņu telpa</t>
  </si>
  <si>
    <t>Tehniskā telpa</t>
  </si>
  <si>
    <t>Rehabilitācijas un nodarbību telpu grupa</t>
  </si>
  <si>
    <t>Mūzikas,tēlotājmākslas,rokdarbu un spēļu terapijasa telpa</t>
  </si>
  <si>
    <t>Smilšu terapijas un autistu telpa</t>
  </si>
  <si>
    <t>Mācību klase</t>
  </si>
  <si>
    <t>R6</t>
  </si>
  <si>
    <t>R7</t>
  </si>
  <si>
    <t>Kapella</t>
  </si>
  <si>
    <t>R8</t>
  </si>
  <si>
    <t>Biblioteka</t>
  </si>
  <si>
    <t>R9</t>
  </si>
  <si>
    <t>R10</t>
  </si>
  <si>
    <t>Apkopējas inventāra telpa</t>
  </si>
  <si>
    <t>Stacionāra telpas</t>
  </si>
  <si>
    <t>P1</t>
  </si>
  <si>
    <t>Dežurējošo medicīnas personāla telpa</t>
  </si>
  <si>
    <t>P2</t>
  </si>
  <si>
    <t>Tīrās veļas glabātuve</t>
  </si>
  <si>
    <t>P3</t>
  </si>
  <si>
    <t>Palātu bloks zēniem</t>
  </si>
  <si>
    <t>P4</t>
  </si>
  <si>
    <t>Medicīnas manipulāciju telpa</t>
  </si>
  <si>
    <t>P5</t>
  </si>
  <si>
    <t>Četrvietīga palāta</t>
  </si>
  <si>
    <t>P6</t>
  </si>
  <si>
    <t>P7</t>
  </si>
  <si>
    <t>P8</t>
  </si>
  <si>
    <t>P9</t>
  </si>
  <si>
    <t>Trīsvietīga palāta</t>
  </si>
  <si>
    <t>P10</t>
  </si>
  <si>
    <t>P11</t>
  </si>
  <si>
    <t>P12</t>
  </si>
  <si>
    <t>P13</t>
  </si>
  <si>
    <t>P14</t>
  </si>
  <si>
    <t>P15</t>
  </si>
  <si>
    <t>P16</t>
  </si>
  <si>
    <t>P17</t>
  </si>
  <si>
    <t>Divvietīga palāta</t>
  </si>
  <si>
    <t>P18</t>
  </si>
  <si>
    <t>P19</t>
  </si>
  <si>
    <t>Vienvietīga palāta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</si>
  <si>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</si>
  <si>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</si>
  <si>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</si>
  <si>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</si>
  <si>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</si>
  <si>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</si>
  <si>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</si>
  <si>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</si>
  <si>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</si>
  <si>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</si>
  <si>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</si>
  <si>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</si>
  <si>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</si>
  <si>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</si>
  <si>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</si>
  <si>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</si>
  <si>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</si>
  <si>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</si>
  <si>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Netīrās veļas kanāla telpa</t>
  </si>
  <si>
    <t>Palātu bloks meitenēm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</si>
  <si>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</si>
  <si>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</si>
  <si>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</si>
  <si>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</si>
  <si>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</si>
  <si>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</si>
  <si>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</si>
  <si>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</si>
  <si>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</si>
  <si>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</si>
  <si>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</si>
  <si>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</si>
  <si>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</si>
  <si>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</si>
  <si>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</si>
  <si>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</si>
  <si>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</si>
  <si>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</si>
  <si>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</si>
  <si>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</si>
  <si>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</si>
  <si>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</si>
  <si>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</si>
  <si>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</si>
  <si>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P62</t>
  </si>
  <si>
    <t>P63</t>
  </si>
  <si>
    <t>P64</t>
  </si>
  <si>
    <t>Netīrās veļas kanļa telpa</t>
  </si>
  <si>
    <t>Bēninu stāva plāns AR-14</t>
  </si>
  <si>
    <t>Bēniņi</t>
  </si>
  <si>
    <t>Ventkamera</t>
  </si>
  <si>
    <t>Ēkas kopējā platiba</t>
  </si>
  <si>
    <t>Lokālā tāme Nr.1-3.1 (izmaiņas 22.01.2013)</t>
  </si>
  <si>
    <t>PAMATI – 2. kārta</t>
  </si>
  <si>
    <t>Būves adrese:  Kalngravas 1, Sarkaņu pagasts, Madonas novads</t>
  </si>
  <si>
    <t>PP-5 (skursteņa pamati)</t>
  </si>
  <si>
    <t>03-01</t>
  </si>
  <si>
    <t>Veidņu uzstādīšana un demontāža pamatiem</t>
  </si>
  <si>
    <r>
      <t>m</t>
    </r>
    <r>
      <rPr>
        <vertAlign val="superscript"/>
        <sz val="12"/>
        <rFont val="Arial"/>
        <family val="2"/>
      </rPr>
      <t>2</t>
    </r>
  </si>
  <si>
    <t>03-02</t>
  </si>
  <si>
    <t>Pamatu armatūras siešana, locīšana un ierīkošana</t>
  </si>
  <si>
    <t>kg</t>
  </si>
  <si>
    <t>03-03</t>
  </si>
  <si>
    <t>Pamatu betonēšana- iestrāde ar sūkni B20</t>
  </si>
  <si>
    <t>03-04</t>
  </si>
  <si>
    <t>Metāla konstrukcijas izveide</t>
  </si>
  <si>
    <t>tn</t>
  </si>
  <si>
    <t>Lokālā tāme Nr.1-4.4 (izmaiņas 22.01.2013)</t>
  </si>
  <si>
    <t>SIENU KONSTRUKCIJAS, NESOŠĀS KONSTRUKCIJAS -2. kārta</t>
  </si>
  <si>
    <t xml:space="preserve">Starpsienu uzbūve jumta stāvā </t>
  </si>
  <si>
    <t>04-01</t>
  </si>
  <si>
    <t>Metāla karkasa starpsienas ar siltinājumu izveidošana (Knauf W112, EI 90)</t>
  </si>
  <si>
    <t>04-02</t>
  </si>
  <si>
    <t>Latojuma (50x50mm) ierīkošana</t>
  </si>
  <si>
    <t>04-03</t>
  </si>
  <si>
    <t>Sienu un jumta apdare ar ugunsdroša ģipškartona plāksnēm (Knauf GKF, 1x12.5mm)</t>
  </si>
  <si>
    <t>Skurstenis</t>
  </si>
  <si>
    <t>04-04</t>
  </si>
  <si>
    <t>Skursteņa karkasa izveide un stiprināšana</t>
  </si>
  <si>
    <t>Lokālā tāme Nr.1-5.2 (izmaiņas 22.01.2013)</t>
  </si>
  <si>
    <t>ĀRSIENU APDARE – 2.kārta</t>
  </si>
  <si>
    <r>
      <t xml:space="preserve">Tāme sastādīta </t>
    </r>
    <r>
      <rPr>
        <b/>
        <sz val="12"/>
        <color indexed="8"/>
        <rFont val="Arial"/>
        <family val="2"/>
      </rPr>
      <t xml:space="preserve">2013. </t>
    </r>
    <r>
      <rPr>
        <sz val="12"/>
        <color indexed="8"/>
        <rFont val="Arial"/>
        <family val="2"/>
      </rPr>
      <t xml:space="preserve">gada tirgus cenās, pamatojoties uz </t>
    </r>
    <r>
      <rPr>
        <b/>
        <sz val="12"/>
        <color indexed="8"/>
        <rFont val="Arial"/>
        <family val="2"/>
      </rPr>
      <t>GP, AR, BK</t>
    </r>
    <r>
      <rPr>
        <sz val="12"/>
        <color indexed="8"/>
        <rFont val="Arial"/>
        <family val="2"/>
      </rPr>
      <t xml:space="preserve"> daļas rasējumiem</t>
    </r>
  </si>
  <si>
    <t>05-01</t>
  </si>
  <si>
    <t>Cokola un sienu virsmu bojājumu, caurumu aizbetonēšana, virsmu līdzināšana ar cementa javu</t>
  </si>
  <si>
    <t>05-02</t>
  </si>
  <si>
    <t>Apmesto virsmu gruntēšana</t>
  </si>
  <si>
    <t>05-03</t>
  </si>
  <si>
    <t>Dekoratīvā apmetuma ierīkošana cokola līmenī</t>
  </si>
  <si>
    <t>05-04</t>
  </si>
  <si>
    <t>Dekoratīvā apmetuma ierīkošana fasādēm</t>
  </si>
  <si>
    <t>05-05</t>
  </si>
  <si>
    <t>Cokola krāsošana (krāsu tonis: S 5000-N (NCS))</t>
  </si>
  <si>
    <t>05-06</t>
  </si>
  <si>
    <t>Fasādes krāsošana (krāsu tonis: S 0505-Y40R (NCS))</t>
  </si>
  <si>
    <t>05-07</t>
  </si>
  <si>
    <t>Dolomīta flīžu apdares izveide</t>
  </si>
  <si>
    <t>05-08</t>
  </si>
  <si>
    <t>Logu un durvju krāsošana fasādē (krāsu tonis S 0500-N (NCS))</t>
  </si>
  <si>
    <t>05-09</t>
  </si>
  <si>
    <t>Fasādes apdares atjaunošana pēc skursteņa karkasa montāžas</t>
  </si>
  <si>
    <t>05-10</t>
  </si>
  <si>
    <t>Skursteņa apdare - Minerit Pastel plāksnes, noslēguma elementi (krāsu tonis – Okra 33)</t>
  </si>
  <si>
    <t>Lokālā tāme Nr.1-6.4 (izmaiņas 22.01.2013)</t>
  </si>
  <si>
    <t>GRĪDAS - 2. kārta</t>
  </si>
  <si>
    <t>Grīdas apdare (telpas 16, 17, 18, 19)</t>
  </si>
  <si>
    <t>06-01</t>
  </si>
  <si>
    <t>Akmensmasas flīžu ierīkošana</t>
  </si>
  <si>
    <t>06-02</t>
  </si>
  <si>
    <t>PVC grīdlistes ierīkošana</t>
  </si>
  <si>
    <t>m</t>
  </si>
  <si>
    <t>Lokālā tāme Nr.1-7.4 (izmaiņas 22.01.2013)</t>
  </si>
  <si>
    <t>SIENU, GRIESTU APDARE - 2. kārta</t>
  </si>
  <si>
    <t>Sienu apdare (telpas 16, 17, 18, 19)</t>
  </si>
  <si>
    <t>07-01</t>
  </si>
  <si>
    <t>Sienu apmešana augstumā līdz 3 m</t>
  </si>
  <si>
    <t>07-02</t>
  </si>
  <si>
    <t>Sienu gruntēšana augstumā līdz 3 m</t>
  </si>
  <si>
    <t>07-03</t>
  </si>
  <si>
    <t>Sienu špaktelēšana augstumā līdz 3 m</t>
  </si>
  <si>
    <t>07-04</t>
  </si>
  <si>
    <t>Sienu krāsošana augstumā līdz 3 m</t>
  </si>
  <si>
    <t>07-05</t>
  </si>
  <si>
    <t>Sienu hidroizolācijas ierīkošana sanmezglos</t>
  </si>
  <si>
    <t>07-06</t>
  </si>
  <si>
    <t>Sienu flīzēšana ar izšuvošanu</t>
  </si>
  <si>
    <t>Griesti (telpas 16, 17, 18, 19)</t>
  </si>
  <si>
    <t>07-07</t>
  </si>
  <si>
    <t xml:space="preserve">Piekārto griestu izbūve augstumā līdz 3 m 600x600 mm </t>
  </si>
  <si>
    <t>07-08</t>
  </si>
  <si>
    <t>Piekārto griestu izbūve augstumā līdz 3 m 600x600 mm mitrumizturīgiem</t>
  </si>
  <si>
    <t>Lokālā tāme Nr.1-8.4 (izmaiņas 22.01.2013)</t>
  </si>
  <si>
    <t>LOGI, DURVIS - 2. kārta</t>
  </si>
  <si>
    <t>08-01</t>
  </si>
  <si>
    <t>gab</t>
  </si>
  <si>
    <t>08-02</t>
  </si>
  <si>
    <t>Lukas ailas apdare</t>
  </si>
  <si>
    <t>m2</t>
  </si>
  <si>
    <t>Telpas 16, 19</t>
  </si>
  <si>
    <t>08-03</t>
  </si>
  <si>
    <t>Durvju atjaunošana (špaktelēšana, krāsošana, furnītūras nomaiņa)</t>
  </si>
  <si>
    <t>Tiešās izmaksas kopā</t>
  </si>
  <si>
    <t>Lokālā tāme Nr.1-9.4 (izmaiņas 22.01.2013)</t>
  </si>
  <si>
    <t>JUMTS, JUMTA SEGUMS - 2. kārta</t>
  </si>
  <si>
    <t>09-01</t>
  </si>
  <si>
    <t>Šķerslatojuma izlīdzināšana</t>
  </si>
  <si>
    <t>09-02</t>
  </si>
  <si>
    <t>Antikondensāta plēves ierīkošana</t>
  </si>
  <si>
    <t>09-03</t>
  </si>
  <si>
    <t>Jumta seguma ierīkošana (Ranilla "Monterrey" TS39, krāsu tonis: RR-29 (RaColor))</t>
  </si>
  <si>
    <t>09-04</t>
  </si>
  <si>
    <t>Sniega barjeru uzstādīšana (Ruukki RSSSB, l=3m, krāsu tonis: RR-29 (RaColor))</t>
  </si>
  <si>
    <t>09-05</t>
  </si>
  <si>
    <t>Lietus tekņu uzstādīšana ∅150 (krāsu tonis: tumši brūns)</t>
  </si>
  <si>
    <t>09-06</t>
  </si>
  <si>
    <t>Lietus notekcauruļu uzstādīšana ∅120 (krāsu tonis: tumši brūns)</t>
  </si>
  <si>
    <t>09-07</t>
  </si>
  <si>
    <t>Dzegas apdare ar koka delīšu apšuvumu, krāsošana (krāsu tonis: beicēts brūns)</t>
  </si>
  <si>
    <t>09-08</t>
  </si>
  <si>
    <t>Skārda jumtiņa izveide virs skursteņa (2500x800mm)</t>
  </si>
  <si>
    <t>09-09</t>
  </si>
  <si>
    <t>Skārda jumtiņa izveide virs skursteņa (2050x1500mm)</t>
  </si>
  <si>
    <t>09-10</t>
  </si>
  <si>
    <t>Skārda jumtiņa izveide virs ventilācijas izvada (∅800mm)</t>
  </si>
  <si>
    <t>09-11</t>
  </si>
  <si>
    <t>Jumta lūkas ierīkošana</t>
  </si>
  <si>
    <t>gb</t>
  </si>
  <si>
    <t>Lokālā tāme Nr.2-1.1 (izmaiņas 22.01.2013)</t>
  </si>
  <si>
    <t>VENTILĀCIJA – 2. kārta</t>
  </si>
  <si>
    <r>
      <t xml:space="preserve">Tāme sastādīta </t>
    </r>
    <r>
      <rPr>
        <b/>
        <sz val="12"/>
        <rFont val="Arial"/>
        <family val="2"/>
      </rPr>
      <t xml:space="preserve">2013. </t>
    </r>
    <r>
      <rPr>
        <sz val="12"/>
        <rFont val="Arial"/>
        <family val="2"/>
      </rPr>
      <t xml:space="preserve">gada tirgus cenās, pamatojoties uz </t>
    </r>
    <r>
      <rPr>
        <b/>
        <sz val="12"/>
        <rFont val="Arial"/>
        <family val="2"/>
      </rPr>
      <t>AVK</t>
    </r>
    <r>
      <rPr>
        <sz val="12"/>
        <rFont val="Arial"/>
        <family val="2"/>
      </rPr>
      <t xml:space="preserve"> daļas rasējumiem</t>
    </r>
  </si>
  <si>
    <t>Sistēma P-1</t>
  </si>
  <si>
    <t>11-01</t>
  </si>
  <si>
    <t>Kanala ventilātora L=250 m3/h; H=115 Pa, KD 400 XL3 (Systemair) montāža</t>
  </si>
  <si>
    <t>kpl.</t>
  </si>
  <si>
    <t>11-02</t>
  </si>
  <si>
    <t>Atruma regulātora RTRD (Systemair) montāža</t>
  </si>
  <si>
    <t>11-03</t>
  </si>
  <si>
    <t>Aizsargreleja STDT (Systemair) montāža</t>
  </si>
  <si>
    <t>11-04</t>
  </si>
  <si>
    <t>Plūsmas regulējošā vārsta ar piedzīņu SRK 60-30 (Systemair) montāža</t>
  </si>
  <si>
    <t>11-05</t>
  </si>
  <si>
    <t>Filtra kassetes ar filtru FFK 60-30 (Systemair) montāža</t>
  </si>
  <si>
    <t>11-06</t>
  </si>
  <si>
    <t>Elektriskā kalorifera RB 60-30/27 (Systemair) montāža</t>
  </si>
  <si>
    <t>11-07</t>
  </si>
  <si>
    <t>Vadības bloka (Systemair) montāža</t>
  </si>
  <si>
    <t>11-08</t>
  </si>
  <si>
    <t>Gaisa vada temperatūras sensora NS 120 (Remak) montāža</t>
  </si>
  <si>
    <t>11-09</t>
  </si>
  <si>
    <t>Spiediena sensora P 33 (Remak) montāža</t>
  </si>
  <si>
    <t>11-10</t>
  </si>
  <si>
    <t>Plūsmas regulējošā vārsta SK160 (Vtprincips) montāža</t>
  </si>
  <si>
    <t>11-11</t>
  </si>
  <si>
    <t>Ugunsdrošības vārsta ar piedziņu CR60-400+MFUS, EI 90 montāža</t>
  </si>
  <si>
    <t>11-12</t>
  </si>
  <si>
    <t>Gaisa sadalītāja THD-160 (R1) (Vtprincips) montāža</t>
  </si>
  <si>
    <t>11-13</t>
  </si>
  <si>
    <t>Nosūces restes SV-1-300x200-S (FläktWoods) montāža</t>
  </si>
  <si>
    <t>11-14</t>
  </si>
  <si>
    <t>Ārējas restes RIS-700x400 (FläktWoods) montāža</t>
  </si>
  <si>
    <t>11-15</t>
  </si>
  <si>
    <t>Gaisa vada no cinkotā skārda 600x300mm (Bic) montāža</t>
  </si>
  <si>
    <t>11-16</t>
  </si>
  <si>
    <t>Gaisa vada no cinkotā skārda Ø160mm (Bic) montāža</t>
  </si>
  <si>
    <t>11-17</t>
  </si>
  <si>
    <t>Gaisa vada no cinkotā skārda Ø200mm (Bic) montāža</t>
  </si>
  <si>
    <t>11-18</t>
  </si>
  <si>
    <t>Gaisa vada no cinkotā skārda Ø250mm (Bic) montāža</t>
  </si>
  <si>
    <t>11-19</t>
  </si>
  <si>
    <t>Gaisa vada no cinkotā skārda Ø315mm (Bic) montāža</t>
  </si>
  <si>
    <t>11-20</t>
  </si>
  <si>
    <t>Gaisa vada no cinkotā skārda Ø400mm (Bic) montāža</t>
  </si>
  <si>
    <t>11-21</t>
  </si>
  <si>
    <t>Gaisa vada fasondaļu montāža</t>
  </si>
  <si>
    <t>11-22</t>
  </si>
  <si>
    <t>Trokšņu slāpētāja SLCU 160-900 (Lindab) montāža</t>
  </si>
  <si>
    <t>11-23</t>
  </si>
  <si>
    <t>Trokšņu slāpētāja SLCU 400-900 (Lindab) montāža</t>
  </si>
  <si>
    <t>11-24</t>
  </si>
  <si>
    <t>"Paroc" akmens vates LAM 50mm siltumizolācijas montāža</t>
  </si>
  <si>
    <t>11-25</t>
  </si>
  <si>
    <t>Montāžas materiāli</t>
  </si>
  <si>
    <t>Sistēma N-1</t>
  </si>
  <si>
    <t>11-26</t>
  </si>
  <si>
    <t>Kanāla ventilātora L=250 m3/h; H=115 Pa, KD 400 XL3 (Systemair) montāža</t>
  </si>
  <si>
    <t>11-27</t>
  </si>
  <si>
    <t>Ātruma regulātora RTRD (Systemair) montāža</t>
  </si>
  <si>
    <t>11-28</t>
  </si>
  <si>
    <t>Aizsargrelejs STDT (Systemair) montāža</t>
  </si>
  <si>
    <t>11-29</t>
  </si>
  <si>
    <t>11-30</t>
  </si>
  <si>
    <t>Ugunsdrošības vārstsa ar piedziņu CR60-400+MFUS, EI 90 montāža</t>
  </si>
  <si>
    <t>11-31</t>
  </si>
  <si>
    <t>11-32</t>
  </si>
  <si>
    <t>11-33</t>
  </si>
  <si>
    <t>11-34</t>
  </si>
  <si>
    <t>11-35</t>
  </si>
  <si>
    <t>11-36</t>
  </si>
  <si>
    <t>11-37</t>
  </si>
  <si>
    <t>11-38</t>
  </si>
  <si>
    <t>11-39</t>
  </si>
  <si>
    <t>11-40</t>
  </si>
  <si>
    <t>11-41</t>
  </si>
  <si>
    <t>"Paroc" akmens vates LAM 50mm siltumizolācijas ierīkošana</t>
  </si>
  <si>
    <t>11-42</t>
  </si>
  <si>
    <t>Sistēma N-2, N-3</t>
  </si>
  <si>
    <t>11-43</t>
  </si>
  <si>
    <t>Sadzīves ventilātora L=50 m3/h; H=30Pa, DECOR-100 CDZ (S&amp;P) montāža</t>
  </si>
  <si>
    <t>11-44</t>
  </si>
  <si>
    <t>Gravitācijas restes VK12 (Systemair) montāža</t>
  </si>
  <si>
    <t>11-45</t>
  </si>
  <si>
    <t>Gaisa vada no cinkotā skārda Ø100mm (Bic) montāža</t>
  </si>
  <si>
    <t>11-46</t>
  </si>
  <si>
    <t>11-47</t>
  </si>
  <si>
    <t>Katlumājas ventilācija DN-1, DP-1</t>
  </si>
  <si>
    <t>11-48</t>
  </si>
  <si>
    <t>Ārējā restes RIS-600x300mm (FLAKT) montāža</t>
  </si>
  <si>
    <t>11-49</t>
  </si>
  <si>
    <t>Siltinātā vārsta 600x300mm (FLAKT) montāža</t>
  </si>
  <si>
    <t>11-50</t>
  </si>
  <si>
    <t>Nosūces restes SV-1-300x200 (FLAKT) montāža</t>
  </si>
  <si>
    <t>11-51</t>
  </si>
  <si>
    <t>Montāžas komplekts, palīgmateriāli</t>
  </si>
  <si>
    <t>Sistēmas N-2, N-3 pieslēgšana</t>
  </si>
  <si>
    <t>11-52</t>
  </si>
  <si>
    <t>Kabeļa PPJ 4x1.5 montāža</t>
  </si>
  <si>
    <t>Lokālā tāme Nr.2-2.1 (izmaiņas 22.01.2013)</t>
  </si>
  <si>
    <t>SILTUMMEZGLS, CENTRĀLAPKURE, VENTILĀCIJAS SILTUMAPGĀDE – 2.kārta</t>
  </si>
  <si>
    <t>Katlu mājas iekārtu un materiālu specifikācija</t>
  </si>
  <si>
    <t>12-01</t>
  </si>
  <si>
    <t>Granulu ūdenssildāmais katla "Grandeg GD-Eco-100" montāža. Komplektā: apkures katls Eco-100; Deglis "Grandeg GD-BRN-V-100"; Granulu tvertne GD-BRN-V-BL</t>
  </si>
  <si>
    <t>k-ts</t>
  </si>
  <si>
    <t>12-02</t>
  </si>
  <si>
    <t>Skārienjūtīgā ekrāna GD-BRN-TCH montāža</t>
  </si>
  <si>
    <t>12-03</t>
  </si>
  <si>
    <t>Recirkulācijas sistēmas GD-ECO-REC-25-100 montāža</t>
  </si>
  <si>
    <t>12-04</t>
  </si>
  <si>
    <t>Jaucējvārsta GD-ECO-3C montāža</t>
  </si>
  <si>
    <t>12-05</t>
  </si>
  <si>
    <t>Diafragmas izplēšanas tvērtnes Reflex N 140 montāža</t>
  </si>
  <si>
    <t>12-06</t>
  </si>
  <si>
    <t>Apkures sistēmas cirkulācijas sūkņa WILO Stratos 25/1-6 PN 10 montāža</t>
  </si>
  <si>
    <t>12-07</t>
  </si>
  <si>
    <t>Apkures sistēmas cirkulācijas sūkņa WILO Stratos 25/1-8 PN 10 montāža</t>
  </si>
  <si>
    <t>12-08</t>
  </si>
  <si>
    <t>Gaisa savācēja komplektā ar automātisko atgaisotāju DN15 un krānu DN15 montāža</t>
  </si>
  <si>
    <t>12-09</t>
  </si>
  <si>
    <t>Redukcijas vārsta Ø40mm montāža</t>
  </si>
  <si>
    <t>12-10</t>
  </si>
  <si>
    <t>Lodveida vārsta "Naval" Ø32mm montāža</t>
  </si>
  <si>
    <t>12-11</t>
  </si>
  <si>
    <t>Lodveida vārsta "Naval" Ø40 mm montāža</t>
  </si>
  <si>
    <t>12-12</t>
  </si>
  <si>
    <t>Lodveida vārsta "Naval" Ø50mm montāža</t>
  </si>
  <si>
    <t>12-13</t>
  </si>
  <si>
    <t>Noplombētā lodveida vārsta "Naval" Ø20mm montāža</t>
  </si>
  <si>
    <t>12-14</t>
  </si>
  <si>
    <t>Balansēšanas vārsta Ø40mm montāža</t>
  </si>
  <si>
    <t>12-15</t>
  </si>
  <si>
    <t>Mehāniskā filtra Ø40mm montāža</t>
  </si>
  <si>
    <t>12-16</t>
  </si>
  <si>
    <t>Mehāniskā filtra Ø50mm montāža</t>
  </si>
  <si>
    <t>12-17</t>
  </si>
  <si>
    <t>Trīsgājienu sajaucējvārsta ar izpildmehānismu 3MG 25 Kvs-12 (ESBE) montāža</t>
  </si>
  <si>
    <t>12-18</t>
  </si>
  <si>
    <t>Trīsgājienu sajaucējvārsta ar izpildmehānismu 3mG 25 Kvs-8 (ESBE) montāža</t>
  </si>
  <si>
    <t>12-19</t>
  </si>
  <si>
    <t>Vienvirziena vārsta "T&amp;A Hydronics" Ø40mm montāža</t>
  </si>
  <si>
    <t>12-20</t>
  </si>
  <si>
    <t>Dūmvada kondensāta savācēja (Schiedel) montāža</t>
  </si>
  <si>
    <t>12-21</t>
  </si>
  <si>
    <t>Rūpnieciski izolētu dūmvadu Ø200mm ar revīzijas elementiem montāža</t>
  </si>
  <si>
    <t>12-22</t>
  </si>
  <si>
    <t>Tērauda cauruļu Ø20mm montāža</t>
  </si>
  <si>
    <t>12-23</t>
  </si>
  <si>
    <t>Tērauda cauruļu Ø32mm montāža</t>
  </si>
  <si>
    <t>12-24</t>
  </si>
  <si>
    <t>Tērauda cauruļu Ø40mm montāža</t>
  </si>
  <si>
    <t>12-25</t>
  </si>
  <si>
    <t>Tērauda cauruļu Ø50mm montāža</t>
  </si>
  <si>
    <t>12-26</t>
  </si>
  <si>
    <t>Tērauda cauruļu Ø65mm montāža</t>
  </si>
  <si>
    <t>12-27</t>
  </si>
  <si>
    <t>“Paroc” siltumizolācijas čaulu AE ar alumīnija follijas pārklājumu, biez.40mm, l=1m. Ø32mm ierīkošana</t>
  </si>
  <si>
    <t>12-28</t>
  </si>
  <si>
    <t>“Paroc” siltumizolācijas čaulu AE ar alumīnija follijas pārklājumu, biez.40mm, l=1m. Ø40mm ierīkošana</t>
  </si>
  <si>
    <t>12-29</t>
  </si>
  <si>
    <t>“Paroc” siltumizolācijas čaulu AE ar alumīnija follijas pārklājumu, biez.40mm, l=1m. Ø50mm ierīkošana</t>
  </si>
  <si>
    <t>12-30</t>
  </si>
  <si>
    <t>“Paroc” siltumizolācijas čaulu AE ar alumīnija follijas pārklājumu, biez.40mm, l=1m. Ø65mm ierīkošana</t>
  </si>
  <si>
    <t>12-31</t>
  </si>
  <si>
    <t>Cauruļvadu veidgabalu montāža</t>
  </si>
  <si>
    <t>12-32</t>
  </si>
  <si>
    <t>Caurļvadu stiprinājumu un balstu montāža</t>
  </si>
  <si>
    <t>12-33</t>
  </si>
  <si>
    <t>12-34</t>
  </si>
  <si>
    <t>Āra temperatūras devēja montāža</t>
  </si>
  <si>
    <t>12-35</t>
  </si>
  <si>
    <t>Drošības vārsta Ø20mm, P=6 BAR montāža</t>
  </si>
  <si>
    <t>12-36</t>
  </si>
  <si>
    <t>Metināmā tērauda lodveida krāna tukšošanai “Naval” Ø15mm montāža</t>
  </si>
  <si>
    <t>12-37</t>
  </si>
  <si>
    <t>Tehniskā termometr ar čaulu, 0-100 C montāža</t>
  </si>
  <si>
    <t>12-38</t>
  </si>
  <si>
    <t>Manometra ar noslēgventīli 0-16B montāža</t>
  </si>
  <si>
    <t>12-39</t>
  </si>
  <si>
    <t>Pretkorozijas gruntējuma GF-021 izveidošana</t>
  </si>
  <si>
    <t>Lokālā tāme Nr.2-4.1 (izmaiņas 22.01.2013)</t>
  </si>
  <si>
    <t>K1 -KANALIZĀCIJAS IEKŠĒJIE TĪKLI – 2.kārta</t>
  </si>
  <si>
    <r>
      <t xml:space="preserve">Tāme sastādīta </t>
    </r>
    <r>
      <rPr>
        <b/>
        <sz val="12"/>
        <rFont val="Arial"/>
        <family val="2"/>
      </rPr>
      <t xml:space="preserve">2013. </t>
    </r>
    <r>
      <rPr>
        <sz val="12"/>
        <rFont val="Arial"/>
        <family val="2"/>
      </rPr>
      <t xml:space="preserve">gada tirgus cenās, pamatojoties uz </t>
    </r>
    <r>
      <rPr>
        <b/>
        <sz val="12"/>
        <rFont val="Arial"/>
        <family val="2"/>
      </rPr>
      <t>UK</t>
    </r>
    <r>
      <rPr>
        <sz val="12"/>
        <rFont val="Arial"/>
        <family val="2"/>
      </rPr>
      <t xml:space="preserve"> daļas rasējumiem</t>
    </r>
  </si>
  <si>
    <t>K1 (telpās Nr. 17, 18)</t>
  </si>
  <si>
    <t>14-01</t>
  </si>
  <si>
    <t>Klozetpoda ar taisnu izlaidi montāža</t>
  </si>
  <si>
    <t>14-02</t>
  </si>
  <si>
    <t>Izlietnes 500*360 ar taisno sifonu montāža</t>
  </si>
  <si>
    <t>14-03</t>
  </si>
  <si>
    <t>Rūpnicīski ražotas tualešu kabīnes montāža</t>
  </si>
  <si>
    <t>Lokālā tāme Nr.2-5.1 (izmaiņas 22.01.2013)</t>
  </si>
  <si>
    <t xml:space="preserve"> ŪKT ĀRĒJIE TĪKLI – 2.kārta</t>
  </si>
  <si>
    <t>K1A      Sadzīves kanalizācija</t>
  </si>
  <si>
    <t>15-01</t>
  </si>
  <si>
    <t>Plastmasas caurules Ø160 T8 montāža</t>
  </si>
  <si>
    <t>15-02</t>
  </si>
  <si>
    <t>Lietus ūdeņu skatakas (SVTK)  Ø560; h- līdz 1,5 m; ar vaku montāža</t>
  </si>
  <si>
    <t>15-03</t>
  </si>
  <si>
    <t>Smilts (cauruļu pamatnei) uzbēršana</t>
  </si>
  <si>
    <t>15-04</t>
  </si>
  <si>
    <t>Aizsargčaula d160 montāža</t>
  </si>
  <si>
    <t>15-05</t>
  </si>
  <si>
    <t>Pieslēgšana pie esošiem kanalizācijas tīkliem</t>
  </si>
  <si>
    <t>vieta</t>
  </si>
  <si>
    <t>K2; DR    Lietusūdens kanalizācija</t>
  </si>
  <si>
    <t>15-06</t>
  </si>
  <si>
    <t>15-07</t>
  </si>
  <si>
    <t>Plastmasas caurules Ø200 T8 montāža</t>
  </si>
  <si>
    <t>15-08</t>
  </si>
  <si>
    <t>Kanalizācijas plastmasas caurules ārdarbiem d110 montāža</t>
  </si>
  <si>
    <t>15-09</t>
  </si>
  <si>
    <t>Kanalizācijas plastmasas trejgabala 90˚; d160*160 montāža</t>
  </si>
  <si>
    <t>15-10</t>
  </si>
  <si>
    <t>Kanalizācijas plastmasas trejgabala 90˚; d200*200 montāža</t>
  </si>
  <si>
    <t>15-11</t>
  </si>
  <si>
    <t>Kanalizācijas plastmasas līkuma 90˚; d110 montāža</t>
  </si>
  <si>
    <t>15-12</t>
  </si>
  <si>
    <t>Kanalizācijas plastmasas līkuma 90˚; d160 montāža</t>
  </si>
  <si>
    <t>15-13</t>
  </si>
  <si>
    <t>Kanalizācijas plastmasas līkuma 90˚; d200 montāža</t>
  </si>
  <si>
    <t>15-14</t>
  </si>
  <si>
    <t>Lietus ūdeņu skatakas (SVTK)  Ø400; h- līdz 1,5 m; ar vaku montāža</t>
  </si>
  <si>
    <t>15-15</t>
  </si>
  <si>
    <t>Lietus ūdeņu skatakas (SVTK)  Ø560 ar teleskopisko cauruli un vaku; h- līdz 1,5 m montāža</t>
  </si>
  <si>
    <t>15-16</t>
  </si>
  <si>
    <t>Lietus ūdeņu skatakas (SVTK)  Ø560 ar teleskopisko cauruli un vaku; h- līdz 2,0 m montāža</t>
  </si>
  <si>
    <t>15-17</t>
  </si>
  <si>
    <t>Kanalizācijas betona akas d1000 līdz 2,0m ar vaku montāža</t>
  </si>
  <si>
    <t>15-18</t>
  </si>
  <si>
    <t>Kanalizācijas betona akas d1000 līdz 3,00m ar vaku montāža</t>
  </si>
  <si>
    <t>15-19</t>
  </si>
  <si>
    <t>Aizsargčaula d200 montāža</t>
  </si>
  <si>
    <t>15-20</t>
  </si>
  <si>
    <t>15-21</t>
  </si>
  <si>
    <t>Aizsargčaula d110 montāža</t>
  </si>
  <si>
    <t>15-22</t>
  </si>
  <si>
    <t>Drenējoša smilts uzbēršana</t>
  </si>
  <si>
    <t>15-23</t>
  </si>
  <si>
    <t>Skaloto šķembu b=25-40mm uzbēršana</t>
  </si>
  <si>
    <t>15-24</t>
  </si>
  <si>
    <t>15-25</t>
  </si>
  <si>
    <t>Cauruļvada gala izvada betonēšana</t>
  </si>
  <si>
    <t>Citi darbi</t>
  </si>
  <si>
    <t>15-26</t>
  </si>
  <si>
    <t>Asfaltbetona seguma un pamatnes atjaunošana</t>
  </si>
  <si>
    <t>Lokālā tāme Nr.2-6.1 (izmaiņas 22.01.2013)</t>
  </si>
  <si>
    <t>ELEKTROIEKĀRTAS, TERITORIJAS APGAISMOJUMS – 2.kārta</t>
  </si>
  <si>
    <t>Sadalne ASS-3</t>
  </si>
  <si>
    <t>16-01</t>
  </si>
  <si>
    <t>Sadalnes korpusa (virsapmetuma-slēdzama) 24 mod montāža</t>
  </si>
  <si>
    <t>kpl</t>
  </si>
  <si>
    <t>16-02</t>
  </si>
  <si>
    <t>Automātslēdža B10A 1p montāža</t>
  </si>
  <si>
    <t>16-03</t>
  </si>
  <si>
    <t>Automātslēdža C16A 1p montāža</t>
  </si>
  <si>
    <t>16-04</t>
  </si>
  <si>
    <t>Kabeļa PPJ 3x2.5 montāža</t>
  </si>
  <si>
    <t>16-05</t>
  </si>
  <si>
    <t>Kabeļa PPJ 5x6 montāža</t>
  </si>
  <si>
    <t>16-06</t>
  </si>
  <si>
    <t>PVC aizsargcaurules D16-D25 montāža</t>
  </si>
  <si>
    <t>16-07</t>
  </si>
  <si>
    <t>Montāžas palīgmateriāli</t>
  </si>
  <si>
    <t>0,4 kV kabeļi</t>
  </si>
  <si>
    <t>16-08</t>
  </si>
  <si>
    <t>Kabeļa PPJ 3x1.5 montāža</t>
  </si>
  <si>
    <t>16-09</t>
  </si>
  <si>
    <t>Kabeļa AXPK 4x16 montāža</t>
  </si>
  <si>
    <t>Teritorijas apgaismojums</t>
  </si>
  <si>
    <t>16-10</t>
  </si>
  <si>
    <t>Spuldze ar kupolu  Urbana EPS 300 montāža</t>
  </si>
  <si>
    <t>16-11</t>
  </si>
  <si>
    <t>Kabeļu gala apdare</t>
  </si>
  <si>
    <t>16-12</t>
  </si>
  <si>
    <t>Smilts uzbēršana</t>
  </si>
  <si>
    <t>16-13</t>
  </si>
  <si>
    <t>Brīdinājuma lentas izvietošana</t>
  </si>
  <si>
    <t>16-14</t>
  </si>
  <si>
    <t>Kabeļa aizsarglentas izvietošana</t>
  </si>
  <si>
    <t>16-15</t>
  </si>
  <si>
    <t>Asfalta klājuma līdz 20 cm veidošana</t>
  </si>
  <si>
    <t>16-16</t>
  </si>
  <si>
    <t>Šķembu uzbēršana</t>
  </si>
  <si>
    <t>m3</t>
  </si>
  <si>
    <t>16-17</t>
  </si>
  <si>
    <t>PVC aizsargcaurules DVK110 montāža</t>
  </si>
  <si>
    <t>16-18</t>
  </si>
  <si>
    <t>PVC aizsargcaurules DVK50 montāža</t>
  </si>
  <si>
    <t>Apgaismes ķermeņi, iekārtas</t>
  </si>
  <si>
    <t>16-19</t>
  </si>
  <si>
    <t>Apgaismes ķermeņa ar akumulatoru FWG210 1x 26W montāža</t>
  </si>
  <si>
    <t>16-20</t>
  </si>
  <si>
    <t>Apgaismes ķermeņa  FBS120 2x26W PG montāža</t>
  </si>
  <si>
    <t>16-21</t>
  </si>
  <si>
    <t>16-22</t>
  </si>
  <si>
    <t>Rozešu, slēdžu kārbas 1x montāža</t>
  </si>
  <si>
    <t>16-23</t>
  </si>
  <si>
    <t>Nozarkārbas montāža</t>
  </si>
  <si>
    <t>16-24</t>
  </si>
  <si>
    <t>Esošā elektrības pieslēguma aizsargčaulas veidošana (precizēt uz vietas)</t>
  </si>
  <si>
    <t>16-25</t>
  </si>
  <si>
    <t>Esošā vājstrāvas pieslēguma aizsargčaulas veidošana (precizēt uz vietas)</t>
  </si>
  <si>
    <t>Lokālā tāme Nr.3-1.1 (izmaiņas 22.01.2013)</t>
  </si>
  <si>
    <t>LABIEKĀRTOŠANA – 2.kārta</t>
  </si>
  <si>
    <t>Asfalta segums un pamatne</t>
  </si>
  <si>
    <t>31-01</t>
  </si>
  <si>
    <t>Melnzemes grunts norakšana b=600 mm</t>
  </si>
  <si>
    <t>31-02</t>
  </si>
  <si>
    <t>Melnzemes aizvešana atbērtnē</t>
  </si>
  <si>
    <t>31-03</t>
  </si>
  <si>
    <t>Grunts drenējošā slāņa izbūve zem ceļa seguma b=300 mm</t>
  </si>
  <si>
    <t>31-04</t>
  </si>
  <si>
    <t>Blietētu šķembu pamatne h= 200 mm 0-45</t>
  </si>
  <si>
    <t>31-05</t>
  </si>
  <si>
    <t>Asfaltbetona ieklāšana AC 22 b=60 mm</t>
  </si>
  <si>
    <t>31-06</t>
  </si>
  <si>
    <t>Asfaltbetona ieklāšana AC 11 b=40 mm</t>
  </si>
  <si>
    <t>Bruģa segums</t>
  </si>
  <si>
    <t>31-07</t>
  </si>
  <si>
    <t>Esošās grunts pamatnes norakšana b=400</t>
  </si>
  <si>
    <t>31-08</t>
  </si>
  <si>
    <t>Grunts aizvešana atbērtnē</t>
  </si>
  <si>
    <t>31-09</t>
  </si>
  <si>
    <t>Grunts drenējošā slāņa izbūve  b=220 mm</t>
  </si>
  <si>
    <t>31-10</t>
  </si>
  <si>
    <t>Grunts drenējošā slāņa izbūve  b=390 mm</t>
  </si>
  <si>
    <t>31-11</t>
  </si>
  <si>
    <t>Blietētu šķembu pamatne h= 110 mm 0-45</t>
  </si>
  <si>
    <t>31-12</t>
  </si>
  <si>
    <t>Smilts izlīdzinošā slāņa ierīkošana b=30 mm</t>
  </si>
  <si>
    <t>31-13</t>
  </si>
  <si>
    <t>Bruģakmens ieklāšana b=80 mm gājēju celiņiem, ieskaitot piegriešanu</t>
  </si>
  <si>
    <t>Betona apmales</t>
  </si>
  <si>
    <t>31-14</t>
  </si>
  <si>
    <t>Šķembojuma pamatnes ierīkošana zem apmalēm</t>
  </si>
  <si>
    <t>31-15</t>
  </si>
  <si>
    <t>Pabetonējuma zem bortakmeņa izveidošana</t>
  </si>
  <si>
    <t>31-16</t>
  </si>
  <si>
    <t>Apmaļu montāža BR. 100.30.15</t>
  </si>
  <si>
    <t xml:space="preserve">m </t>
  </si>
  <si>
    <t>31-17</t>
  </si>
  <si>
    <t>Apmaļu montāža BR. 100.20.8</t>
  </si>
  <si>
    <t>31-18</t>
  </si>
  <si>
    <t>Apmaļu montāža BR. 100.22.15</t>
  </si>
  <si>
    <t>31-19</t>
  </si>
  <si>
    <t>Melnzemes ierīkošana, zālāja sēšana</t>
  </si>
  <si>
    <t>31-20</t>
  </si>
  <si>
    <t xml:space="preserve">Zemes darbi </t>
  </si>
  <si>
    <t>31-21</t>
  </si>
  <si>
    <t>Soliņu montāža</t>
  </si>
  <si>
    <t>31-22</t>
  </si>
  <si>
    <t>Atkritumu urnu montāža</t>
  </si>
  <si>
    <t>31-23</t>
  </si>
  <si>
    <t>Zālāja nostiprināšna ar ģeošūnām</t>
  </si>
  <si>
    <t>31-24</t>
  </si>
  <si>
    <t>Dzīvžoga izveide (Barbaris thunbergi), sagatavojot augsnes kārtu b=200 mm</t>
  </si>
  <si>
    <t>31-25</t>
  </si>
  <si>
    <t>Horizontālo apzīmējumu izvedošana</t>
  </si>
  <si>
    <t>31-26</t>
  </si>
  <si>
    <t>Velosipēdu turētāja 6 velosipēdiem montāža</t>
  </si>
  <si>
    <t>31-27</t>
  </si>
  <si>
    <t>Karogmastu uzstādīšana ar pamatu izveidi</t>
  </si>
  <si>
    <t>____________________//</t>
  </si>
  <si>
    <t xml:space="preserve">Būvlaukuma iekārtošana, uzturēšana, pagaidu pieslēgumu ierīkošana </t>
  </si>
  <si>
    <t>kompl.</t>
  </si>
  <si>
    <t>Revīzijas lukas ierīkošana ( 800x1600mm, EI 60)</t>
  </si>
  <si>
    <t xml:space="preserve">Pasūtījuma Nr.:      </t>
  </si>
  <si>
    <t xml:space="preserve">Pasūtījuma Nr.: </t>
  </si>
  <si>
    <t>iepirkums "Papildus veicamie būvdarbi projekta “Kalnagravas tautas nama rekonstrukcija” ietvaros", identifikācijas numurs MNP2013/9_ELFLA</t>
  </si>
  <si>
    <t>Peļņa ...%</t>
  </si>
  <si>
    <t>Virsizdevumi … %</t>
  </si>
  <si>
    <t>pasūtītāja rezerve 3%</t>
  </si>
  <si>
    <t>Materiālu, grunts apmaiņas un būvgružu transporta izdevumi … %:</t>
  </si>
  <si>
    <t>Līgumcena kopā:</t>
  </si>
  <si>
    <t>Pasūtījuma Nr.: iepirkums "Papildus veicamie būvdarbi projekta “Kalnagravas tautas nama rekonstrukcija” ietvaros", identifikācijas numurs MNP2013/9_ELFLA</t>
  </si>
  <si>
    <t>Pretendents:</t>
  </si>
  <si>
    <r>
      <t xml:space="preserve">Tāme sastādīta </t>
    </r>
    <r>
      <rPr>
        <b/>
        <sz val="12"/>
        <rFont val="Arial"/>
        <family val="2"/>
      </rPr>
      <t xml:space="preserve">2013. </t>
    </r>
    <r>
      <rPr>
        <sz val="12"/>
        <rFont val="Arial"/>
        <family val="2"/>
      </rPr>
      <t xml:space="preserve">gada tirgus cenās, pamatojoties uz </t>
    </r>
    <r>
      <rPr>
        <b/>
        <sz val="12"/>
        <rFont val="Arial"/>
        <family val="2"/>
      </rPr>
      <t>EL</t>
    </r>
    <r>
      <rPr>
        <sz val="12"/>
        <rFont val="Arial"/>
        <family val="2"/>
      </rPr>
      <t xml:space="preserve"> daļas rasējumiem</t>
    </r>
  </si>
  <si>
    <r>
      <t xml:space="preserve">Tāme sastādīta </t>
    </r>
    <r>
      <rPr>
        <b/>
        <sz val="12"/>
        <rFont val="Arial"/>
        <family val="2"/>
      </rPr>
      <t xml:space="preserve">2013. </t>
    </r>
    <r>
      <rPr>
        <sz val="12"/>
        <rFont val="Arial"/>
        <family val="2"/>
      </rPr>
      <t xml:space="preserve">gada tirgus cenās, pamatojoties uz </t>
    </r>
    <r>
      <rPr>
        <b/>
        <sz val="12"/>
        <rFont val="Arial"/>
        <family val="2"/>
      </rPr>
      <t xml:space="preserve">GP, AR </t>
    </r>
    <r>
      <rPr>
        <sz val="12"/>
        <rFont val="Arial"/>
        <family val="2"/>
      </rPr>
      <t xml:space="preserve"> daļas rasējumiem</t>
    </r>
  </si>
  <si>
    <r>
      <t xml:space="preserve">Tāme sastādīta </t>
    </r>
    <r>
      <rPr>
        <b/>
        <sz val="12"/>
        <rFont val="Arial"/>
        <family val="2"/>
      </rPr>
      <t xml:space="preserve">2013. </t>
    </r>
    <r>
      <rPr>
        <sz val="12"/>
        <rFont val="Arial"/>
        <family val="2"/>
      </rPr>
      <t xml:space="preserve">gada tirgus cenās, pamatojoties uz </t>
    </r>
    <r>
      <rPr>
        <b/>
        <sz val="12"/>
        <rFont val="Arial"/>
        <family val="2"/>
      </rPr>
      <t xml:space="preserve">UKT </t>
    </r>
    <r>
      <rPr>
        <sz val="12"/>
        <rFont val="Arial"/>
        <family val="2"/>
      </rPr>
      <t>daļas rasējumiem</t>
    </r>
  </si>
  <si>
    <t>1-4.4</t>
  </si>
  <si>
    <t>1-6.4</t>
  </si>
  <si>
    <t>1-7.4</t>
  </si>
  <si>
    <t>1-8.4</t>
  </si>
  <si>
    <t>1-9.4</t>
  </si>
  <si>
    <t>Tāme sastādīta 2013.gada __.___________</t>
  </si>
</sst>
</file>

<file path=xl/styles.xml><?xml version="1.0" encoding="utf-8"?>
<styleSheet xmlns="http://schemas.openxmlformats.org/spreadsheetml/2006/main">
  <numFmts count="2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* #,##0.00_);_(* \(#,##0.00\);_(* \-??_);_(@_)"/>
    <numFmt numFmtId="165" formatCode="m&quot;ont&quot;h\ d&quot;, &quot;yyyy"/>
    <numFmt numFmtId="166" formatCode="_(* #,##0_);_(* \(#,##0\);_(* \-_);_(@_)"/>
    <numFmt numFmtId="167" formatCode="_-[$€-2]\ * #,##0.00_-;\-[$€-2]\ * #,##0.00_-;_-[$€-2]\ * \-??_-"/>
    <numFmt numFmtId="168" formatCode="#.00"/>
    <numFmt numFmtId="169" formatCode="#."/>
    <numFmt numFmtId="170" formatCode="&quot;See Note  &quot;#"/>
    <numFmt numFmtId="171" formatCode="_(\$* #,##0_);_(\$* \(#,##0\);_(\$* \-_);_(@_)"/>
    <numFmt numFmtId="172" formatCode="_-* #,##0_-;\-* #,##0_-;_-* \-_-;_-@_-"/>
    <numFmt numFmtId="173" formatCode="_-* #,##0\$_-;\-* #,##0\$_-;_-* &quot;-$&quot;_-;_-@_-"/>
    <numFmt numFmtId="174" formatCode="_-* #,##0.00\$_-;\-* #,##0.00\$_-;_-* \-??\$_-;_-@_-"/>
    <numFmt numFmtId="175" formatCode="_-* #,##0.00\ _L_s_-;\-* #,##0.00\ _L_s_-;_-* \-??\ _L_s_-;_-@_-"/>
    <numFmt numFmtId="176" formatCode="mmm\ dd"/>
    <numFmt numFmtId="177" formatCode="&quot;Ls &quot;#,##0.00;&quot;-Ls &quot;#,##0.00"/>
    <numFmt numFmtId="178" formatCode="_-* #,##0.00_-;\-* #,##0.00_-;_-* \-??_-;_-@_-"/>
    <numFmt numFmtId="179" formatCode="0_)"/>
    <numFmt numFmtId="180" formatCode="0.00_)"/>
    <numFmt numFmtId="181" formatCode="0.000"/>
    <numFmt numFmtId="182" formatCode="0.000_)"/>
    <numFmt numFmtId="183" formatCode="0.0%"/>
    <numFmt numFmtId="184" formatCode="_(* ###0.00_);_(* \(###0.00\);_(* \-??_);_(@_)"/>
  </numFmts>
  <fonts count="91">
    <font>
      <sz val="12"/>
      <name val="Courier New"/>
      <family val="3"/>
    </font>
    <font>
      <sz val="10"/>
      <name val="Arial"/>
      <family val="0"/>
    </font>
    <font>
      <sz val="1"/>
      <color indexed="8"/>
      <name val="Courier New"/>
      <family val="1"/>
    </font>
    <font>
      <sz val="10"/>
      <name val="Baltica"/>
      <family val="0"/>
    </font>
    <font>
      <b/>
      <sz val="1"/>
      <color indexed="8"/>
      <name val="Courier New"/>
      <family val="1"/>
    </font>
    <font>
      <b/>
      <sz val="18"/>
      <name val="ITCCenturyBookT"/>
      <family val="0"/>
    </font>
    <font>
      <b/>
      <sz val="14"/>
      <name val="ITCCenturyBookT"/>
      <family val="0"/>
    </font>
    <font>
      <sz val="14"/>
      <name val="ITCCenturyBookT"/>
      <family val="0"/>
    </font>
    <font>
      <sz val="9"/>
      <name val="TextBook"/>
      <family val="0"/>
    </font>
    <font>
      <sz val="8"/>
      <name val="Arial"/>
      <family val="2"/>
    </font>
    <font>
      <sz val="10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i/>
      <sz val="10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vertAlign val="superscript"/>
      <sz val="12"/>
      <name val="Arial"/>
      <family val="2"/>
    </font>
    <font>
      <sz val="12"/>
      <color indexed="8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10"/>
      <color indexed="56"/>
      <name val="Arial"/>
      <family val="2"/>
    </font>
    <font>
      <b/>
      <i/>
      <sz val="10"/>
      <color indexed="48"/>
      <name val="Arial"/>
      <family val="2"/>
    </font>
    <font>
      <b/>
      <sz val="10"/>
      <color indexed="17"/>
      <name val="Arial"/>
      <family val="2"/>
    </font>
    <font>
      <sz val="10"/>
      <color indexed="21"/>
      <name val="Arial"/>
      <family val="2"/>
    </font>
    <font>
      <b/>
      <sz val="10"/>
      <color indexed="21"/>
      <name val="Arial"/>
      <family val="2"/>
    </font>
    <font>
      <b/>
      <i/>
      <sz val="10"/>
      <color indexed="21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14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b/>
      <sz val="10"/>
      <color indexed="54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10"/>
      <color indexed="57"/>
      <name val="Arial"/>
      <family val="2"/>
    </font>
    <font>
      <b/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60"/>
      <name val="Arial"/>
      <family val="2"/>
    </font>
    <font>
      <b/>
      <sz val="10"/>
      <color indexed="1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b/>
      <i/>
      <sz val="12"/>
      <color indexed="8"/>
      <name val="Arial"/>
      <family val="2"/>
    </font>
    <font>
      <b/>
      <u val="single"/>
      <sz val="14"/>
      <color indexed="8"/>
      <name val="Arial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0" fontId="76" fillId="26" borderId="1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77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2" fillId="0" borderId="0">
      <alignment/>
      <protection locked="0"/>
    </xf>
    <xf numFmtId="166" fontId="0" fillId="0" borderId="0" applyFill="0" applyBorder="0" applyAlignment="0" applyProtection="0"/>
    <xf numFmtId="4" fontId="0" fillId="0" borderId="0" applyFill="0" applyBorder="0" applyAlignment="0" applyProtection="0"/>
    <xf numFmtId="0" fontId="3" fillId="0" borderId="0" applyNumberFormat="0">
      <alignment/>
      <protection/>
    </xf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8" fontId="2" fillId="0" borderId="0">
      <alignment/>
      <protection locked="0"/>
    </xf>
    <xf numFmtId="169" fontId="4" fillId="0" borderId="0">
      <alignment/>
      <protection locked="0"/>
    </xf>
    <xf numFmtId="169" fontId="4" fillId="0" borderId="0">
      <alignment/>
      <protection locked="0"/>
    </xf>
    <xf numFmtId="169" fontId="4" fillId="0" borderId="0">
      <alignment/>
      <protection locked="0"/>
    </xf>
    <xf numFmtId="169" fontId="4" fillId="0" borderId="0">
      <alignment/>
      <protection locked="0"/>
    </xf>
    <xf numFmtId="0" fontId="5" fillId="27" borderId="0">
      <alignment/>
      <protection/>
    </xf>
    <xf numFmtId="0" fontId="6" fillId="28" borderId="0">
      <alignment/>
      <protection/>
    </xf>
    <xf numFmtId="0" fontId="7" fillId="0" borderId="0">
      <alignment/>
      <protection/>
    </xf>
    <xf numFmtId="0" fontId="78" fillId="29" borderId="1" applyNumberFormat="0" applyAlignment="0" applyProtection="0"/>
    <xf numFmtId="0" fontId="10" fillId="0" borderId="0">
      <alignment/>
      <protection/>
    </xf>
    <xf numFmtId="0" fontId="79" fillId="26" borderId="2" applyNumberFormat="0" applyAlignment="0" applyProtection="0"/>
    <xf numFmtId="0" fontId="80" fillId="0" borderId="3" applyNumberFormat="0" applyFill="0" applyAlignment="0" applyProtection="0"/>
    <xf numFmtId="0" fontId="81" fillId="30" borderId="0" applyNumberFormat="0" applyBorder="0" applyAlignment="0" applyProtection="0"/>
    <xf numFmtId="0" fontId="8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84" fillId="32" borderId="4" applyNumberFormat="0" applyAlignment="0" applyProtection="0"/>
    <xf numFmtId="0" fontId="85" fillId="0" borderId="0" applyNumberForma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0" fillId="33" borderId="5" applyNumberFormat="0" applyFont="0" applyAlignment="0" applyProtection="0"/>
    <xf numFmtId="0" fontId="8" fillId="0" borderId="0">
      <alignment/>
      <protection/>
    </xf>
    <xf numFmtId="9" fontId="0" fillId="0" borderId="0" applyFill="0" applyBorder="0" applyAlignment="0" applyProtection="0"/>
    <xf numFmtId="0" fontId="86" fillId="0" borderId="6" applyNumberFormat="0" applyFill="0" applyAlignment="0" applyProtection="0"/>
    <xf numFmtId="0" fontId="87" fillId="3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9" fillId="0" borderId="0">
      <alignment horizontal="left"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8" fillId="0" borderId="7" applyNumberFormat="0" applyFill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0" fillId="0" borderId="0" applyNumberFormat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0" fontId="1" fillId="0" borderId="0">
      <alignment/>
      <protection/>
    </xf>
    <xf numFmtId="175" fontId="0" fillId="0" borderId="0" applyFill="0" applyBorder="0" applyAlignment="0" applyProtection="0"/>
  </cellStyleXfs>
  <cellXfs count="462">
    <xf numFmtId="0" fontId="0" fillId="0" borderId="0" xfId="0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/>
    </xf>
    <xf numFmtId="0" fontId="11" fillId="0" borderId="11" xfId="0" applyFont="1" applyBorder="1" applyAlignment="1">
      <alignment horizontal="right"/>
    </xf>
    <xf numFmtId="0" fontId="11" fillId="0" borderId="0" xfId="0" applyFont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right" wrapText="1"/>
    </xf>
    <xf numFmtId="0" fontId="1" fillId="0" borderId="0" xfId="0" applyFont="1" applyFill="1" applyBorder="1" applyAlignment="1">
      <alignment vertical="top"/>
    </xf>
    <xf numFmtId="0" fontId="1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textRotation="90" wrapText="1"/>
      <protection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17" fillId="0" borderId="10" xfId="126" applyFont="1" applyFill="1" applyBorder="1" applyAlignment="1" applyProtection="1">
      <alignment horizontal="center" vertical="center" textRotation="90" wrapText="1"/>
      <protection/>
    </xf>
    <xf numFmtId="0" fontId="17" fillId="0" borderId="10" xfId="128" applyFont="1" applyFill="1" applyBorder="1" applyAlignment="1" applyProtection="1">
      <alignment horizontal="center" vertical="center" textRotation="90" wrapText="1"/>
      <protection/>
    </xf>
    <xf numFmtId="0" fontId="13" fillId="0" borderId="10" xfId="126" applyFont="1" applyFill="1" applyBorder="1" applyAlignment="1">
      <alignment horizontal="right" vertical="center" wrapText="1"/>
      <protection/>
    </xf>
    <xf numFmtId="178" fontId="13" fillId="0" borderId="10" xfId="126" applyNumberFormat="1" applyFont="1" applyFill="1" applyBorder="1" applyAlignment="1">
      <alignment horizontal="right" vertical="center"/>
      <protection/>
    </xf>
    <xf numFmtId="2" fontId="11" fillId="0" borderId="10" xfId="69" applyNumberFormat="1" applyFont="1" applyFill="1" applyBorder="1" applyAlignment="1" applyProtection="1">
      <alignment horizontal="right" vertical="center"/>
      <protection/>
    </xf>
    <xf numFmtId="2" fontId="13" fillId="0" borderId="10" xfId="69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2" fontId="11" fillId="0" borderId="1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0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 wrapText="1"/>
    </xf>
    <xf numFmtId="2" fontId="11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>
      <alignment horizontal="left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178" fontId="11" fillId="0" borderId="10" xfId="44" applyNumberFormat="1" applyFont="1" applyFill="1" applyBorder="1" applyAlignment="1" applyProtection="1">
      <alignment horizontal="right" vertical="center"/>
      <protection/>
    </xf>
    <xf numFmtId="2" fontId="11" fillId="0" borderId="10" xfId="0" applyNumberFormat="1" applyFont="1" applyFill="1" applyBorder="1" applyAlignment="1">
      <alignment horizontal="right" vertical="center"/>
    </xf>
    <xf numFmtId="178" fontId="11" fillId="0" borderId="10" xfId="0" applyNumberFormat="1" applyFont="1" applyFill="1" applyBorder="1" applyAlignment="1">
      <alignment horizontal="right" vertical="center"/>
    </xf>
    <xf numFmtId="178" fontId="11" fillId="35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left" vertical="center" wrapText="1"/>
    </xf>
    <xf numFmtId="178" fontId="13" fillId="0" borderId="1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 applyProtection="1">
      <alignment horizontal="right" vertical="center"/>
      <protection/>
    </xf>
    <xf numFmtId="178" fontId="11" fillId="0" borderId="10" xfId="0" applyNumberFormat="1" applyFont="1" applyFill="1" applyBorder="1" applyAlignment="1">
      <alignment horizontal="left" vertical="center"/>
    </xf>
    <xf numFmtId="2" fontId="13" fillId="0" borderId="12" xfId="44" applyNumberFormat="1" applyFont="1" applyFill="1" applyBorder="1" applyAlignment="1" applyProtection="1">
      <alignment horizontal="right" vertical="center"/>
      <protection/>
    </xf>
    <xf numFmtId="2" fontId="13" fillId="0" borderId="10" xfId="44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2" fontId="11" fillId="0" borderId="0" xfId="44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right" vertical="center"/>
      <protection/>
    </xf>
    <xf numFmtId="0" fontId="11" fillId="0" borderId="11" xfId="0" applyFont="1" applyFill="1" applyBorder="1" applyAlignment="1" applyProtection="1">
      <alignment horizontal="right" vertical="center"/>
      <protection/>
    </xf>
    <xf numFmtId="0" fontId="11" fillId="0" borderId="11" xfId="0" applyFont="1" applyFill="1" applyBorder="1" applyAlignment="1" applyProtection="1">
      <alignment horizontal="left" vertical="center"/>
      <protection/>
    </xf>
    <xf numFmtId="2" fontId="11" fillId="0" borderId="11" xfId="44" applyNumberFormat="1" applyFont="1" applyFill="1" applyBorder="1" applyAlignment="1" applyProtection="1">
      <alignment horizontal="right" vertical="center"/>
      <protection/>
    </xf>
    <xf numFmtId="0" fontId="1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11" xfId="128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2" fontId="1" fillId="0" borderId="0" xfId="44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179" fontId="23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vertical="center"/>
    </xf>
    <xf numFmtId="180" fontId="23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 applyProtection="1">
      <alignment horizontal="center" vertical="center"/>
      <protection/>
    </xf>
    <xf numFmtId="180" fontId="1" fillId="0" borderId="0" xfId="0" applyNumberFormat="1" applyFont="1" applyFill="1" applyBorder="1" applyAlignment="1" applyProtection="1">
      <alignment vertical="center"/>
      <protection/>
    </xf>
    <xf numFmtId="179" fontId="1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right"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2" fontId="32" fillId="0" borderId="0" xfId="44" applyNumberFormat="1" applyFont="1" applyFill="1" applyBorder="1" applyAlignment="1" applyProtection="1">
      <alignment horizontal="right" vertical="center"/>
      <protection/>
    </xf>
    <xf numFmtId="2" fontId="30" fillId="0" borderId="0" xfId="44" applyNumberFormat="1" applyFont="1" applyFill="1" applyBorder="1" applyAlignment="1" applyProtection="1">
      <alignment horizontal="right" vertical="center"/>
      <protection/>
    </xf>
    <xf numFmtId="2" fontId="1" fillId="0" borderId="0" xfId="0" applyNumberFormat="1" applyFont="1" applyFill="1" applyBorder="1" applyAlignment="1" applyProtection="1">
      <alignment horizontal="right" vertical="center"/>
      <protection/>
    </xf>
    <xf numFmtId="0" fontId="32" fillId="0" borderId="0" xfId="0" applyFont="1" applyFill="1" applyBorder="1" applyAlignment="1">
      <alignment vertical="center"/>
    </xf>
    <xf numFmtId="181" fontId="32" fillId="0" borderId="0" xfId="44" applyNumberFormat="1" applyFont="1" applyFill="1" applyBorder="1" applyAlignment="1" applyProtection="1">
      <alignment horizontal="right" vertical="center"/>
      <protection/>
    </xf>
    <xf numFmtId="2" fontId="34" fillId="0" borderId="0" xfId="44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right" vertical="center"/>
    </xf>
    <xf numFmtId="2" fontId="36" fillId="0" borderId="0" xfId="0" applyNumberFormat="1" applyFont="1" applyFill="1" applyBorder="1" applyAlignment="1">
      <alignment vertical="center"/>
    </xf>
    <xf numFmtId="2" fontId="37" fillId="0" borderId="0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horizontal="right" vertical="center"/>
    </xf>
    <xf numFmtId="2" fontId="38" fillId="0" borderId="0" xfId="0" applyNumberFormat="1" applyFont="1" applyFill="1" applyBorder="1" applyAlignment="1">
      <alignment vertical="center"/>
    </xf>
    <xf numFmtId="2" fontId="38" fillId="0" borderId="0" xfId="0" applyNumberFormat="1" applyFont="1" applyFill="1" applyBorder="1" applyAlignment="1">
      <alignment horizontal="right" vertical="center"/>
    </xf>
    <xf numFmtId="2" fontId="22" fillId="0" borderId="0" xfId="44" applyNumberFormat="1" applyFont="1" applyFill="1" applyBorder="1" applyAlignment="1" applyProtection="1">
      <alignment horizontal="right" vertical="center"/>
      <protection/>
    </xf>
    <xf numFmtId="2" fontId="39" fillId="0" borderId="0" xfId="0" applyNumberFormat="1" applyFont="1" applyFill="1" applyBorder="1" applyAlignment="1">
      <alignment vertical="center"/>
    </xf>
    <xf numFmtId="2" fontId="40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right" vertical="center"/>
    </xf>
    <xf numFmtId="2" fontId="41" fillId="0" borderId="0" xfId="0" applyNumberFormat="1" applyFont="1" applyFill="1" applyBorder="1" applyAlignment="1">
      <alignment vertical="center"/>
    </xf>
    <xf numFmtId="2" fontId="41" fillId="0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vertical="center"/>
    </xf>
    <xf numFmtId="181" fontId="41" fillId="0" borderId="0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center" vertical="center"/>
    </xf>
    <xf numFmtId="2" fontId="42" fillId="0" borderId="0" xfId="44" applyNumberFormat="1" applyFont="1" applyFill="1" applyBorder="1" applyAlignment="1" applyProtection="1">
      <alignment horizontal="right" vertical="center"/>
      <protection/>
    </xf>
    <xf numFmtId="2" fontId="36" fillId="0" borderId="0" xfId="44" applyNumberFormat="1" applyFont="1" applyFill="1" applyBorder="1" applyAlignment="1" applyProtection="1">
      <alignment horizontal="right" vertical="center"/>
      <protection/>
    </xf>
    <xf numFmtId="2" fontId="39" fillId="0" borderId="0" xfId="44" applyNumberFormat="1" applyFont="1" applyFill="1" applyBorder="1" applyAlignment="1" applyProtection="1">
      <alignment horizontal="right" vertical="center"/>
      <protection/>
    </xf>
    <xf numFmtId="2" fontId="27" fillId="0" borderId="0" xfId="0" applyNumberFormat="1" applyFont="1" applyFill="1" applyBorder="1" applyAlignment="1">
      <alignment horizontal="left" vertical="center"/>
    </xf>
    <xf numFmtId="2" fontId="41" fillId="0" borderId="0" xfId="44" applyNumberFormat="1" applyFont="1" applyFill="1" applyBorder="1" applyAlignment="1" applyProtection="1">
      <alignment horizontal="right" vertical="center"/>
      <protection/>
    </xf>
    <xf numFmtId="2" fontId="15" fillId="0" borderId="0" xfId="44" applyNumberFormat="1" applyFont="1" applyFill="1" applyBorder="1" applyAlignment="1" applyProtection="1">
      <alignment horizontal="right" vertical="center"/>
      <protection/>
    </xf>
    <xf numFmtId="2" fontId="33" fillId="0" borderId="0" xfId="44" applyNumberFormat="1" applyFont="1" applyFill="1" applyBorder="1" applyAlignment="1" applyProtection="1">
      <alignment horizontal="right" vertical="center"/>
      <protection/>
    </xf>
    <xf numFmtId="2" fontId="25" fillId="0" borderId="0" xfId="44" applyNumberFormat="1" applyFont="1" applyFill="1" applyBorder="1" applyAlignment="1" applyProtection="1">
      <alignment horizontal="right" vertical="center"/>
      <protection/>
    </xf>
    <xf numFmtId="181" fontId="41" fillId="0" borderId="0" xfId="0" applyNumberFormat="1" applyFont="1" applyFill="1" applyBorder="1" applyAlignment="1">
      <alignment vertical="center"/>
    </xf>
    <xf numFmtId="2" fontId="42" fillId="0" borderId="0" xfId="0" applyNumberFormat="1" applyFont="1" applyFill="1" applyBorder="1" applyAlignment="1">
      <alignment vertical="center"/>
    </xf>
    <xf numFmtId="2" fontId="43" fillId="0" borderId="0" xfId="0" applyNumberFormat="1" applyFont="1" applyFill="1" applyBorder="1" applyAlignment="1">
      <alignment vertical="center"/>
    </xf>
    <xf numFmtId="2" fontId="34" fillId="0" borderId="0" xfId="0" applyNumberFormat="1" applyFont="1" applyFill="1" applyBorder="1" applyAlignment="1">
      <alignment vertical="center"/>
    </xf>
    <xf numFmtId="2" fontId="29" fillId="0" borderId="0" xfId="44" applyNumberFormat="1" applyFont="1" applyFill="1" applyBorder="1" applyAlignment="1" applyProtection="1">
      <alignment horizontal="right" vertical="center"/>
      <protection/>
    </xf>
    <xf numFmtId="0" fontId="32" fillId="0" borderId="0" xfId="0" applyFont="1" applyFill="1" applyBorder="1" applyAlignment="1">
      <alignment horizontal="right" vertical="center"/>
    </xf>
    <xf numFmtId="2" fontId="44" fillId="0" borderId="0" xfId="0" applyNumberFormat="1" applyFont="1" applyFill="1" applyBorder="1" applyAlignment="1">
      <alignment vertical="center"/>
    </xf>
    <xf numFmtId="2" fontId="45" fillId="0" borderId="0" xfId="0" applyNumberFormat="1" applyFont="1" applyFill="1" applyBorder="1" applyAlignment="1">
      <alignment vertical="center"/>
    </xf>
    <xf numFmtId="2" fontId="27" fillId="0" borderId="0" xfId="44" applyNumberFormat="1" applyFont="1" applyFill="1" applyBorder="1" applyAlignment="1" applyProtection="1">
      <alignment horizontal="right" vertical="center"/>
      <protection/>
    </xf>
    <xf numFmtId="2" fontId="44" fillId="0" borderId="0" xfId="44" applyNumberFormat="1" applyFont="1" applyFill="1" applyBorder="1" applyAlignment="1" applyProtection="1">
      <alignment horizontal="right" vertical="center"/>
      <protection/>
    </xf>
    <xf numFmtId="2" fontId="45" fillId="0" borderId="0" xfId="44" applyNumberFormat="1" applyFont="1" applyFill="1" applyBorder="1" applyAlignment="1" applyProtection="1">
      <alignment horizontal="right" vertical="center"/>
      <protection/>
    </xf>
    <xf numFmtId="2" fontId="40" fillId="0" borderId="0" xfId="44" applyNumberFormat="1" applyFont="1" applyFill="1" applyBorder="1" applyAlignment="1" applyProtection="1">
      <alignment horizontal="right" vertical="center"/>
      <protection/>
    </xf>
    <xf numFmtId="2" fontId="26" fillId="0" borderId="0" xfId="44" applyNumberFormat="1" applyFont="1" applyFill="1" applyBorder="1" applyAlignment="1" applyProtection="1">
      <alignment horizontal="right" vertical="center"/>
      <protection/>
    </xf>
    <xf numFmtId="2" fontId="46" fillId="0" borderId="0" xfId="44" applyNumberFormat="1" applyFont="1" applyFill="1" applyBorder="1" applyAlignment="1" applyProtection="1">
      <alignment horizontal="right" vertical="center"/>
      <protection/>
    </xf>
    <xf numFmtId="2" fontId="27" fillId="0" borderId="0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183" fontId="1" fillId="0" borderId="0" xfId="153" applyNumberFormat="1" applyFont="1" applyFill="1" applyBorder="1" applyAlignment="1" applyProtection="1">
      <alignment vertical="center"/>
      <protection/>
    </xf>
    <xf numFmtId="0" fontId="47" fillId="0" borderId="0" xfId="0" applyFont="1" applyFill="1" applyBorder="1" applyAlignment="1" applyProtection="1">
      <alignment horizontal="left" vertical="center"/>
      <protection/>
    </xf>
    <xf numFmtId="0" fontId="47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7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left" vertical="center" wrapText="1"/>
    </xf>
    <xf numFmtId="178" fontId="11" fillId="0" borderId="10" xfId="48" applyNumberFormat="1" applyFont="1" applyFill="1" applyBorder="1" applyAlignment="1" applyProtection="1">
      <alignment horizontal="right" vertical="center"/>
      <protection/>
    </xf>
    <xf numFmtId="0" fontId="11" fillId="0" borderId="1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178" fontId="11" fillId="0" borderId="13" xfId="69" applyNumberFormat="1" applyFont="1" applyFill="1" applyBorder="1" applyAlignment="1" applyProtection="1">
      <alignment horizontal="right" vertical="center"/>
      <protection/>
    </xf>
    <xf numFmtId="2" fontId="11" fillId="0" borderId="13" xfId="0" applyNumberFormat="1" applyFont="1" applyFill="1" applyBorder="1" applyAlignment="1">
      <alignment horizontal="right" vertical="center"/>
    </xf>
    <xf numFmtId="178" fontId="11" fillId="0" borderId="13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178" fontId="11" fillId="0" borderId="0" xfId="0" applyNumberFormat="1" applyFont="1" applyBorder="1" applyAlignment="1">
      <alignment vertical="center"/>
    </xf>
    <xf numFmtId="0" fontId="17" fillId="0" borderId="10" xfId="0" applyFont="1" applyFill="1" applyBorder="1" applyAlignment="1" applyProtection="1">
      <alignment horizontal="right" vertical="center"/>
      <protection/>
    </xf>
    <xf numFmtId="2" fontId="11" fillId="0" borderId="10" xfId="44" applyNumberFormat="1" applyFont="1" applyFill="1" applyBorder="1" applyAlignment="1" applyProtection="1">
      <alignment horizontal="right" vertical="center"/>
      <protection/>
    </xf>
    <xf numFmtId="2" fontId="1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vertical="center"/>
    </xf>
    <xf numFmtId="0" fontId="1" fillId="0" borderId="0" xfId="126" applyFont="1" applyFill="1" applyBorder="1" applyAlignment="1">
      <alignment vertical="center"/>
      <protection/>
    </xf>
    <xf numFmtId="0" fontId="11" fillId="0" borderId="0" xfId="126" applyFont="1" applyFill="1" applyBorder="1" applyAlignment="1" applyProtection="1">
      <alignment horizontal="left" vertical="center"/>
      <protection/>
    </xf>
    <xf numFmtId="0" fontId="11" fillId="0" borderId="0" xfId="126" applyFont="1" applyFill="1" applyBorder="1" applyAlignment="1">
      <alignment horizontal="center" vertical="center"/>
      <protection/>
    </xf>
    <xf numFmtId="0" fontId="11" fillId="0" borderId="0" xfId="126" applyFont="1" applyFill="1" applyBorder="1" applyAlignment="1">
      <alignment horizontal="right" vertical="center"/>
      <protection/>
    </xf>
    <xf numFmtId="0" fontId="17" fillId="0" borderId="0" xfId="126" applyFont="1" applyFill="1" applyBorder="1" applyAlignment="1">
      <alignment horizontal="center" vertical="center"/>
      <protection/>
    </xf>
    <xf numFmtId="0" fontId="11" fillId="0" borderId="0" xfId="126" applyFont="1" applyFill="1" applyBorder="1" applyAlignment="1">
      <alignment horizontal="left" vertical="center"/>
      <protection/>
    </xf>
    <xf numFmtId="0" fontId="48" fillId="0" borderId="0" xfId="126" applyFont="1" applyFill="1" applyBorder="1" applyAlignment="1" applyProtection="1">
      <alignment horizontal="left" vertical="center"/>
      <protection/>
    </xf>
    <xf numFmtId="0" fontId="47" fillId="0" borderId="0" xfId="126" applyFont="1" applyFill="1" applyBorder="1" applyAlignment="1">
      <alignment horizontal="center" vertical="center"/>
      <protection/>
    </xf>
    <xf numFmtId="0" fontId="47" fillId="0" borderId="0" xfId="126" applyFont="1" applyFill="1" applyBorder="1" applyAlignment="1">
      <alignment horizontal="right" vertical="center"/>
      <protection/>
    </xf>
    <xf numFmtId="0" fontId="49" fillId="0" borderId="0" xfId="126" applyFont="1" applyFill="1" applyBorder="1" applyAlignment="1">
      <alignment horizontal="left" vertical="center"/>
      <protection/>
    </xf>
    <xf numFmtId="0" fontId="49" fillId="0" borderId="0" xfId="126" applyFont="1" applyFill="1" applyBorder="1" applyAlignment="1">
      <alignment horizontal="center" vertical="center"/>
      <protection/>
    </xf>
    <xf numFmtId="0" fontId="11" fillId="0" borderId="10" xfId="126" applyNumberFormat="1" applyFont="1" applyFill="1" applyBorder="1" applyAlignment="1">
      <alignment horizontal="center" vertical="center" wrapText="1"/>
      <protection/>
    </xf>
    <xf numFmtId="0" fontId="18" fillId="0" borderId="10" xfId="126" applyFont="1" applyFill="1" applyBorder="1" applyAlignment="1" applyProtection="1">
      <alignment horizontal="left" vertical="center" wrapText="1"/>
      <protection/>
    </xf>
    <xf numFmtId="49" fontId="11" fillId="0" borderId="10" xfId="126" applyNumberFormat="1" applyFont="1" applyFill="1" applyBorder="1" applyAlignment="1">
      <alignment horizontal="center" vertical="center" wrapText="1"/>
      <protection/>
    </xf>
    <xf numFmtId="0" fontId="11" fillId="0" borderId="10" xfId="126" applyFont="1" applyFill="1" applyBorder="1" applyAlignment="1">
      <alignment horizontal="left" vertical="center" wrapText="1"/>
      <protection/>
    </xf>
    <xf numFmtId="0" fontId="11" fillId="0" borderId="10" xfId="126" applyFont="1" applyFill="1" applyBorder="1" applyAlignment="1">
      <alignment horizontal="center" vertical="center" wrapText="1"/>
      <protection/>
    </xf>
    <xf numFmtId="178" fontId="11" fillId="0" borderId="10" xfId="69" applyNumberFormat="1" applyFont="1" applyFill="1" applyBorder="1" applyAlignment="1" applyProtection="1">
      <alignment horizontal="right" vertical="center"/>
      <protection/>
    </xf>
    <xf numFmtId="2" fontId="11" fillId="0" borderId="10" xfId="126" applyNumberFormat="1" applyFont="1" applyFill="1" applyBorder="1" applyAlignment="1">
      <alignment horizontal="right" vertical="center"/>
      <protection/>
    </xf>
    <xf numFmtId="178" fontId="11" fillId="0" borderId="10" xfId="126" applyNumberFormat="1" applyFont="1" applyFill="1" applyBorder="1" applyAlignment="1">
      <alignment horizontal="right" vertical="center"/>
      <protection/>
    </xf>
    <xf numFmtId="178" fontId="20" fillId="0" borderId="10" xfId="126" applyNumberFormat="1" applyFont="1" applyFill="1" applyBorder="1" applyAlignment="1">
      <alignment horizontal="right" vertical="center"/>
      <protection/>
    </xf>
    <xf numFmtId="0" fontId="11" fillId="0" borderId="0" xfId="126" applyFont="1" applyFill="1" applyBorder="1" applyAlignment="1">
      <alignment vertical="center"/>
      <protection/>
    </xf>
    <xf numFmtId="178" fontId="20" fillId="0" borderId="10" xfId="69" applyNumberFormat="1" applyFont="1" applyFill="1" applyBorder="1" applyAlignment="1" applyProtection="1">
      <alignment horizontal="right" vertical="center"/>
      <protection/>
    </xf>
    <xf numFmtId="0" fontId="13" fillId="0" borderId="10" xfId="126" applyFont="1" applyFill="1" applyBorder="1" applyAlignment="1">
      <alignment vertical="center" wrapText="1"/>
      <protection/>
    </xf>
    <xf numFmtId="178" fontId="11" fillId="0" borderId="0" xfId="126" applyNumberFormat="1" applyFont="1" applyFill="1" applyBorder="1" applyAlignment="1">
      <alignment vertical="center"/>
      <protection/>
    </xf>
    <xf numFmtId="0" fontId="17" fillId="0" borderId="10" xfId="126" applyFont="1" applyFill="1" applyBorder="1" applyAlignment="1" applyProtection="1">
      <alignment horizontal="right" vertical="center"/>
      <protection/>
    </xf>
    <xf numFmtId="2" fontId="11" fillId="0" borderId="0" xfId="126" applyNumberFormat="1" applyFont="1" applyFill="1" applyBorder="1" applyAlignment="1">
      <alignment vertical="center"/>
      <protection/>
    </xf>
    <xf numFmtId="0" fontId="15" fillId="0" borderId="0" xfId="126" applyFont="1" applyFill="1" applyBorder="1" applyAlignment="1" applyProtection="1">
      <alignment horizontal="right" vertical="center"/>
      <protection/>
    </xf>
    <xf numFmtId="49" fontId="15" fillId="0" borderId="0" xfId="126" applyNumberFormat="1" applyFont="1" applyFill="1" applyBorder="1" applyAlignment="1" applyProtection="1">
      <alignment horizontal="right" vertical="center"/>
      <protection/>
    </xf>
    <xf numFmtId="0" fontId="1" fillId="0" borderId="0" xfId="126" applyFont="1" applyFill="1" applyBorder="1" applyAlignment="1" applyProtection="1">
      <alignment horizontal="center" vertical="center"/>
      <protection/>
    </xf>
    <xf numFmtId="2" fontId="1" fillId="0" borderId="0" xfId="69" applyNumberFormat="1" applyFont="1" applyFill="1" applyBorder="1" applyAlignment="1" applyProtection="1">
      <alignment horizontal="right" vertical="center"/>
      <protection/>
    </xf>
    <xf numFmtId="0" fontId="11" fillId="0" borderId="0" xfId="126" applyFont="1" applyFill="1" applyBorder="1" applyAlignment="1" applyProtection="1">
      <alignment horizontal="right" vertical="center"/>
      <protection/>
    </xf>
    <xf numFmtId="0" fontId="11" fillId="0" borderId="11" xfId="126" applyFont="1" applyFill="1" applyBorder="1" applyAlignment="1" applyProtection="1">
      <alignment horizontal="right" vertical="center"/>
      <protection/>
    </xf>
    <xf numFmtId="0" fontId="11" fillId="0" borderId="11" xfId="126" applyFont="1" applyFill="1" applyBorder="1" applyAlignment="1" applyProtection="1">
      <alignment horizontal="left" vertical="center"/>
      <protection/>
    </xf>
    <xf numFmtId="2" fontId="11" fillId="0" borderId="11" xfId="69" applyNumberFormat="1" applyFont="1" applyFill="1" applyBorder="1" applyAlignment="1" applyProtection="1">
      <alignment horizontal="right" vertical="center"/>
      <protection/>
    </xf>
    <xf numFmtId="0" fontId="11" fillId="0" borderId="11" xfId="126" applyFont="1" applyFill="1" applyBorder="1" applyAlignment="1">
      <alignment vertical="center"/>
      <protection/>
    </xf>
    <xf numFmtId="0" fontId="11" fillId="0" borderId="0" xfId="126" applyFont="1" applyFill="1" applyBorder="1" applyAlignment="1" applyProtection="1">
      <alignment horizontal="center" vertical="center"/>
      <protection/>
    </xf>
    <xf numFmtId="2" fontId="11" fillId="0" borderId="0" xfId="69" applyNumberFormat="1" applyFont="1" applyFill="1" applyBorder="1" applyAlignment="1" applyProtection="1">
      <alignment horizontal="right" vertical="center"/>
      <protection/>
    </xf>
    <xf numFmtId="0" fontId="11" fillId="0" borderId="0" xfId="126" applyFont="1" applyFill="1" applyBorder="1" applyAlignment="1" applyProtection="1">
      <alignment vertical="center"/>
      <protection/>
    </xf>
    <xf numFmtId="0" fontId="1" fillId="0" borderId="0" xfId="126" applyFont="1" applyFill="1" applyBorder="1" applyAlignment="1">
      <alignment horizontal="right" vertical="center"/>
      <protection/>
    </xf>
    <xf numFmtId="49" fontId="1" fillId="0" borderId="0" xfId="126" applyNumberFormat="1" applyFont="1" applyFill="1" applyBorder="1" applyAlignment="1">
      <alignment horizontal="right" vertical="center"/>
      <protection/>
    </xf>
    <xf numFmtId="0" fontId="1" fillId="0" borderId="0" xfId="126" applyFont="1" applyFill="1" applyBorder="1" applyAlignment="1">
      <alignment horizontal="center" vertical="center"/>
      <protection/>
    </xf>
    <xf numFmtId="2" fontId="1" fillId="0" borderId="0" xfId="126" applyNumberFormat="1" applyFont="1" applyFill="1" applyBorder="1" applyAlignment="1">
      <alignment vertical="center"/>
      <protection/>
    </xf>
    <xf numFmtId="0" fontId="13" fillId="0" borderId="0" xfId="126" applyFont="1" applyFill="1" applyBorder="1" applyAlignment="1" applyProtection="1">
      <alignment horizontal="left" vertical="center"/>
      <protection/>
    </xf>
    <xf numFmtId="0" fontId="17" fillId="0" borderId="0" xfId="126" applyFont="1" applyFill="1" applyBorder="1" applyAlignment="1">
      <alignment horizontal="left" vertical="center"/>
      <protection/>
    </xf>
    <xf numFmtId="184" fontId="11" fillId="0" borderId="10" xfId="69" applyNumberFormat="1" applyFont="1" applyFill="1" applyBorder="1" applyAlignment="1" applyProtection="1">
      <alignment horizontal="right" vertical="center"/>
      <protection/>
    </xf>
    <xf numFmtId="178" fontId="11" fillId="35" borderId="10" xfId="126" applyNumberFormat="1" applyFont="1" applyFill="1" applyBorder="1" applyAlignment="1">
      <alignment horizontal="right" vertical="center"/>
      <protection/>
    </xf>
    <xf numFmtId="0" fontId="11" fillId="0" borderId="10" xfId="126" applyFont="1" applyFill="1" applyBorder="1" applyAlignment="1">
      <alignment vertical="center" wrapText="1"/>
      <protection/>
    </xf>
    <xf numFmtId="0" fontId="17" fillId="0" borderId="0" xfId="126" applyFont="1" applyFill="1" applyBorder="1" applyAlignment="1" applyProtection="1">
      <alignment horizontal="right" vertical="center"/>
      <protection/>
    </xf>
    <xf numFmtId="49" fontId="17" fillId="0" borderId="0" xfId="126" applyNumberFormat="1" applyFont="1" applyFill="1" applyBorder="1" applyAlignment="1" applyProtection="1">
      <alignment horizontal="right" vertical="center"/>
      <protection/>
    </xf>
    <xf numFmtId="49" fontId="11" fillId="0" borderId="0" xfId="126" applyNumberFormat="1" applyFont="1" applyFill="1" applyBorder="1" applyAlignment="1">
      <alignment horizontal="right" vertical="center"/>
      <protection/>
    </xf>
    <xf numFmtId="0" fontId="20" fillId="0" borderId="10" xfId="126" applyFont="1" applyFill="1" applyBorder="1" applyAlignment="1">
      <alignment vertical="center" wrapText="1"/>
      <protection/>
    </xf>
    <xf numFmtId="178" fontId="51" fillId="0" borderId="10" xfId="126" applyNumberFormat="1" applyFont="1" applyFill="1" applyBorder="1" applyAlignment="1">
      <alignment horizontal="right" vertical="center"/>
      <protection/>
    </xf>
    <xf numFmtId="0" fontId="1" fillId="0" borderId="0" xfId="128" applyFont="1" applyFill="1" applyBorder="1" applyAlignment="1">
      <alignment vertical="center"/>
      <protection/>
    </xf>
    <xf numFmtId="0" fontId="11" fillId="0" borderId="0" xfId="128" applyFont="1" applyFill="1" applyBorder="1" applyAlignment="1" applyProtection="1">
      <alignment horizontal="left" vertical="center"/>
      <protection/>
    </xf>
    <xf numFmtId="0" fontId="11" fillId="0" borderId="0" xfId="128" applyFont="1" applyFill="1" applyBorder="1" applyAlignment="1">
      <alignment horizontal="center" vertical="center"/>
      <protection/>
    </xf>
    <xf numFmtId="0" fontId="11" fillId="0" borderId="0" xfId="128" applyFont="1" applyFill="1" applyBorder="1" applyAlignment="1">
      <alignment horizontal="right" vertical="center"/>
      <protection/>
    </xf>
    <xf numFmtId="0" fontId="17" fillId="0" borderId="0" xfId="128" applyFont="1" applyFill="1" applyBorder="1" applyAlignment="1">
      <alignment horizontal="center" vertical="center"/>
      <protection/>
    </xf>
    <xf numFmtId="0" fontId="11" fillId="0" borderId="0" xfId="128" applyFont="1" applyFill="1" applyBorder="1" applyAlignment="1">
      <alignment horizontal="left" vertical="center"/>
      <protection/>
    </xf>
    <xf numFmtId="0" fontId="17" fillId="0" borderId="0" xfId="128" applyFont="1" applyFill="1" applyBorder="1" applyAlignment="1">
      <alignment horizontal="left" vertical="center"/>
      <protection/>
    </xf>
    <xf numFmtId="0" fontId="13" fillId="0" borderId="0" xfId="128" applyFont="1" applyFill="1" applyBorder="1" applyAlignment="1" applyProtection="1">
      <alignment horizontal="left" vertical="center"/>
      <protection/>
    </xf>
    <xf numFmtId="0" fontId="11" fillId="0" borderId="0" xfId="128" applyFont="1" applyFill="1" applyBorder="1" applyAlignment="1">
      <alignment vertical="center"/>
      <protection/>
    </xf>
    <xf numFmtId="0" fontId="11" fillId="0" borderId="10" xfId="128" applyNumberFormat="1" applyFont="1" applyFill="1" applyBorder="1" applyAlignment="1">
      <alignment horizontal="center" vertical="center" wrapText="1"/>
      <protection/>
    </xf>
    <xf numFmtId="49" fontId="13" fillId="0" borderId="10" xfId="128" applyNumberFormat="1" applyFont="1" applyFill="1" applyBorder="1" applyAlignment="1">
      <alignment horizontal="left" vertical="center"/>
      <protection/>
    </xf>
    <xf numFmtId="0" fontId="18" fillId="0" borderId="10" xfId="128" applyFont="1" applyFill="1" applyBorder="1" applyAlignment="1" applyProtection="1">
      <alignment horizontal="left" vertical="center"/>
      <protection/>
    </xf>
    <xf numFmtId="0" fontId="11" fillId="0" borderId="10" xfId="128" applyFont="1" applyFill="1" applyBorder="1" applyAlignment="1">
      <alignment horizontal="center" vertical="center"/>
      <protection/>
    </xf>
    <xf numFmtId="184" fontId="11" fillId="0" borderId="10" xfId="48" applyNumberFormat="1" applyFont="1" applyFill="1" applyBorder="1" applyAlignment="1" applyProtection="1">
      <alignment horizontal="right" vertical="center"/>
      <protection/>
    </xf>
    <xf numFmtId="2" fontId="11" fillId="0" borderId="10" xfId="128" applyNumberFormat="1" applyFont="1" applyFill="1" applyBorder="1" applyAlignment="1">
      <alignment horizontal="center" vertical="center"/>
      <protection/>
    </xf>
    <xf numFmtId="2" fontId="11" fillId="0" borderId="10" xfId="128" applyNumberFormat="1" applyFont="1" applyFill="1" applyBorder="1" applyAlignment="1">
      <alignment vertical="center"/>
      <protection/>
    </xf>
    <xf numFmtId="0" fontId="11" fillId="0" borderId="10" xfId="128" applyFont="1" applyFill="1" applyBorder="1" applyAlignment="1">
      <alignment vertical="center"/>
      <protection/>
    </xf>
    <xf numFmtId="0" fontId="52" fillId="0" borderId="10" xfId="128" applyFont="1" applyFill="1" applyBorder="1" applyAlignment="1">
      <alignment vertical="center"/>
      <protection/>
    </xf>
    <xf numFmtId="49" fontId="11" fillId="0" borderId="10" xfId="128" applyNumberFormat="1" applyFont="1" applyFill="1" applyBorder="1" applyAlignment="1">
      <alignment horizontal="center" vertical="center" wrapText="1"/>
      <protection/>
    </xf>
    <xf numFmtId="0" fontId="11" fillId="0" borderId="10" xfId="128" applyFont="1" applyFill="1" applyBorder="1" applyAlignment="1">
      <alignment vertical="center" wrapText="1"/>
      <protection/>
    </xf>
    <xf numFmtId="0" fontId="11" fillId="0" borderId="10" xfId="128" applyFont="1" applyFill="1" applyBorder="1" applyAlignment="1">
      <alignment horizontal="center" vertical="center" wrapText="1"/>
      <protection/>
    </xf>
    <xf numFmtId="2" fontId="11" fillId="0" borderId="10" xfId="128" applyNumberFormat="1" applyFont="1" applyFill="1" applyBorder="1" applyAlignment="1">
      <alignment horizontal="right" vertical="center"/>
      <protection/>
    </xf>
    <xf numFmtId="178" fontId="11" fillId="0" borderId="10" xfId="128" applyNumberFormat="1" applyFont="1" applyFill="1" applyBorder="1" applyAlignment="1">
      <alignment horizontal="right" vertical="center"/>
      <protection/>
    </xf>
    <xf numFmtId="0" fontId="13" fillId="0" borderId="10" xfId="128" applyFont="1" applyFill="1" applyBorder="1" applyAlignment="1">
      <alignment vertical="center" wrapText="1"/>
      <protection/>
    </xf>
    <xf numFmtId="0" fontId="13" fillId="0" borderId="10" xfId="128" applyFont="1" applyFill="1" applyBorder="1" applyAlignment="1">
      <alignment horizontal="right" vertical="center" wrapText="1"/>
      <protection/>
    </xf>
    <xf numFmtId="178" fontId="13" fillId="0" borderId="10" xfId="128" applyNumberFormat="1" applyFont="1" applyFill="1" applyBorder="1" applyAlignment="1">
      <alignment horizontal="right" vertical="center"/>
      <protection/>
    </xf>
    <xf numFmtId="178" fontId="11" fillId="0" borderId="0" xfId="128" applyNumberFormat="1" applyFont="1" applyFill="1" applyBorder="1" applyAlignment="1">
      <alignment vertical="center"/>
      <protection/>
    </xf>
    <xf numFmtId="0" fontId="17" fillId="0" borderId="10" xfId="128" applyFont="1" applyFill="1" applyBorder="1" applyAlignment="1" applyProtection="1">
      <alignment horizontal="right" vertical="center"/>
      <protection/>
    </xf>
    <xf numFmtId="2" fontId="11" fillId="0" borderId="10" xfId="48" applyNumberFormat="1" applyFont="1" applyFill="1" applyBorder="1" applyAlignment="1" applyProtection="1">
      <alignment horizontal="right" vertical="center"/>
      <protection/>
    </xf>
    <xf numFmtId="2" fontId="13" fillId="0" borderId="10" xfId="48" applyNumberFormat="1" applyFont="1" applyFill="1" applyBorder="1" applyAlignment="1" applyProtection="1">
      <alignment horizontal="right" vertical="center"/>
      <protection/>
    </xf>
    <xf numFmtId="2" fontId="11" fillId="0" borderId="0" xfId="128" applyNumberFormat="1" applyFont="1" applyFill="1" applyBorder="1" applyAlignment="1">
      <alignment vertical="center"/>
      <protection/>
    </xf>
    <xf numFmtId="0" fontId="17" fillId="0" borderId="0" xfId="128" applyFont="1" applyFill="1" applyBorder="1" applyAlignment="1" applyProtection="1">
      <alignment horizontal="right" vertical="center"/>
      <protection/>
    </xf>
    <xf numFmtId="49" fontId="17" fillId="0" borderId="0" xfId="128" applyNumberFormat="1" applyFont="1" applyFill="1" applyBorder="1" applyAlignment="1" applyProtection="1">
      <alignment horizontal="right" vertical="center"/>
      <protection/>
    </xf>
    <xf numFmtId="0" fontId="11" fillId="0" borderId="0" xfId="128" applyFont="1" applyFill="1" applyBorder="1" applyAlignment="1" applyProtection="1">
      <alignment horizontal="center" vertical="center"/>
      <protection/>
    </xf>
    <xf numFmtId="2" fontId="11" fillId="0" borderId="0" xfId="48" applyNumberFormat="1" applyFont="1" applyFill="1" applyBorder="1" applyAlignment="1" applyProtection="1">
      <alignment horizontal="right" vertical="center"/>
      <protection/>
    </xf>
    <xf numFmtId="0" fontId="11" fillId="0" borderId="0" xfId="128" applyFont="1" applyFill="1" applyBorder="1" applyAlignment="1" applyProtection="1">
      <alignment horizontal="right" vertical="center"/>
      <protection/>
    </xf>
    <xf numFmtId="0" fontId="11" fillId="0" borderId="11" xfId="128" applyFont="1" applyFill="1" applyBorder="1" applyAlignment="1" applyProtection="1">
      <alignment horizontal="left" vertical="center"/>
      <protection/>
    </xf>
    <xf numFmtId="2" fontId="11" fillId="0" borderId="11" xfId="48" applyNumberFormat="1" applyFont="1" applyFill="1" applyBorder="1" applyAlignment="1" applyProtection="1">
      <alignment horizontal="right" vertical="center"/>
      <protection/>
    </xf>
    <xf numFmtId="0" fontId="11" fillId="0" borderId="11" xfId="128" applyFont="1" applyFill="1" applyBorder="1" applyAlignment="1">
      <alignment vertical="center"/>
      <protection/>
    </xf>
    <xf numFmtId="0" fontId="11" fillId="0" borderId="0" xfId="128" applyFont="1" applyFill="1" applyBorder="1" applyAlignment="1" applyProtection="1">
      <alignment vertical="center"/>
      <protection/>
    </xf>
    <xf numFmtId="49" fontId="11" fillId="0" borderId="0" xfId="128" applyNumberFormat="1" applyFont="1" applyFill="1" applyBorder="1" applyAlignment="1">
      <alignment horizontal="right" vertical="center"/>
      <protection/>
    </xf>
    <xf numFmtId="177" fontId="49" fillId="0" borderId="0" xfId="126" applyNumberFormat="1" applyFont="1" applyFill="1" applyBorder="1" applyAlignment="1">
      <alignment horizontal="center" vertical="center"/>
      <protection/>
    </xf>
    <xf numFmtId="0" fontId="18" fillId="0" borderId="10" xfId="126" applyFont="1" applyFill="1" applyBorder="1" applyAlignment="1">
      <alignment vertical="center" wrapText="1"/>
      <protection/>
    </xf>
    <xf numFmtId="0" fontId="20" fillId="0" borderId="10" xfId="126" applyNumberFormat="1" applyFont="1" applyFill="1" applyBorder="1" applyAlignment="1">
      <alignment horizontal="center" vertical="center" wrapText="1"/>
      <protection/>
    </xf>
    <xf numFmtId="0" fontId="53" fillId="0" borderId="10" xfId="126" applyFont="1" applyFill="1" applyBorder="1" applyAlignment="1">
      <alignment vertical="center" wrapText="1"/>
      <protection/>
    </xf>
    <xf numFmtId="178" fontId="11" fillId="0" borderId="10" xfId="69" applyNumberFormat="1" applyFont="1" applyFill="1" applyBorder="1" applyAlignment="1" applyProtection="1">
      <alignment horizontal="center" vertical="center"/>
      <protection/>
    </xf>
    <xf numFmtId="2" fontId="11" fillId="0" borderId="10" xfId="126" applyNumberFormat="1" applyFont="1" applyFill="1" applyBorder="1" applyAlignment="1">
      <alignment horizontal="center" vertical="center"/>
      <protection/>
    </xf>
    <xf numFmtId="178" fontId="11" fillId="0" borderId="10" xfId="126" applyNumberFormat="1" applyFont="1" applyFill="1" applyBorder="1" applyAlignment="1">
      <alignment horizontal="center" vertical="center"/>
      <protection/>
    </xf>
    <xf numFmtId="178" fontId="11" fillId="0" borderId="10" xfId="126" applyNumberFormat="1" applyFont="1" applyFill="1" applyBorder="1" applyAlignment="1">
      <alignment vertical="center"/>
      <protection/>
    </xf>
    <xf numFmtId="178" fontId="11" fillId="0" borderId="0" xfId="126" applyNumberFormat="1" applyFont="1" applyFill="1" applyBorder="1" applyAlignment="1">
      <alignment horizontal="right" vertical="center"/>
      <protection/>
    </xf>
    <xf numFmtId="178" fontId="20" fillId="0" borderId="10" xfId="0" applyNumberFormat="1" applyFont="1" applyFill="1" applyBorder="1" applyAlignment="1">
      <alignment horizontal="right" vertical="center"/>
    </xf>
    <xf numFmtId="0" fontId="11" fillId="36" borderId="0" xfId="126" applyFont="1" applyFill="1" applyBorder="1" applyAlignment="1">
      <alignment vertical="center"/>
      <protection/>
    </xf>
    <xf numFmtId="0" fontId="11" fillId="0" borderId="14" xfId="126" applyFont="1" applyFill="1" applyBorder="1" applyAlignment="1">
      <alignment vertical="center"/>
      <protection/>
    </xf>
    <xf numFmtId="178" fontId="13" fillId="0" borderId="10" xfId="126" applyNumberFormat="1" applyFont="1" applyFill="1" applyBorder="1" applyAlignment="1">
      <alignment vertical="center"/>
      <protection/>
    </xf>
    <xf numFmtId="178" fontId="11" fillId="35" borderId="0" xfId="126" applyNumberFormat="1" applyFont="1" applyFill="1" applyBorder="1" applyAlignment="1">
      <alignment vertical="center"/>
      <protection/>
    </xf>
    <xf numFmtId="0" fontId="11" fillId="35" borderId="0" xfId="126" applyFont="1" applyFill="1" applyBorder="1" applyAlignment="1">
      <alignment vertical="center"/>
      <protection/>
    </xf>
    <xf numFmtId="2" fontId="11" fillId="35" borderId="0" xfId="126" applyNumberFormat="1" applyFont="1" applyFill="1" applyBorder="1" applyAlignment="1">
      <alignment vertical="center"/>
      <protection/>
    </xf>
    <xf numFmtId="0" fontId="1" fillId="35" borderId="0" xfId="126" applyFont="1" applyFill="1" applyBorder="1" applyAlignment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177" fontId="17" fillId="0" borderId="0" xfId="126" applyNumberFormat="1" applyFont="1" applyFill="1" applyBorder="1" applyAlignment="1">
      <alignment horizontal="center" vertical="center"/>
      <protection/>
    </xf>
    <xf numFmtId="0" fontId="53" fillId="0" borderId="10" xfId="126" applyFont="1" applyFill="1" applyBorder="1" applyAlignment="1">
      <alignment horizontal="left" vertical="center" wrapText="1"/>
      <protection/>
    </xf>
    <xf numFmtId="0" fontId="11" fillId="0" borderId="10" xfId="126" applyFont="1" applyFill="1" applyBorder="1" applyAlignment="1">
      <alignment vertical="center" wrapText="1"/>
      <protection/>
    </xf>
    <xf numFmtId="10" fontId="11" fillId="0" borderId="0" xfId="126" applyNumberFormat="1" applyFont="1" applyFill="1" applyBorder="1" applyAlignment="1">
      <alignment vertical="center"/>
      <protection/>
    </xf>
    <xf numFmtId="0" fontId="11" fillId="0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178" fontId="11" fillId="0" borderId="10" xfId="50" applyNumberFormat="1" applyFont="1" applyFill="1" applyBorder="1" applyAlignment="1" applyProtection="1">
      <alignment horizontal="right" vertical="center"/>
      <protection/>
    </xf>
    <xf numFmtId="2" fontId="11" fillId="0" borderId="16" xfId="0" applyNumberFormat="1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center" vertical="center" wrapText="1"/>
    </xf>
    <xf numFmtId="178" fontId="11" fillId="0" borderId="16" xfId="50" applyNumberFormat="1" applyFont="1" applyFill="1" applyBorder="1" applyAlignment="1" applyProtection="1">
      <alignment horizontal="right" vertical="center"/>
      <protection/>
    </xf>
    <xf numFmtId="0" fontId="11" fillId="0" borderId="1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178" fontId="11" fillId="0" borderId="11" xfId="50" applyNumberFormat="1" applyFont="1" applyFill="1" applyBorder="1" applyAlignment="1" applyProtection="1">
      <alignment horizontal="right" vertical="center"/>
      <protection/>
    </xf>
    <xf numFmtId="0" fontId="11" fillId="0" borderId="12" xfId="0" applyFont="1" applyFill="1" applyBorder="1" applyAlignment="1">
      <alignment vertical="center" wrapText="1"/>
    </xf>
    <xf numFmtId="178" fontId="11" fillId="0" borderId="16" xfId="69" applyNumberFormat="1" applyFont="1" applyFill="1" applyBorder="1" applyAlignment="1" applyProtection="1">
      <alignment horizontal="right" vertical="center"/>
      <protection/>
    </xf>
    <xf numFmtId="0" fontId="13" fillId="0" borderId="10" xfId="126" applyNumberFormat="1" applyFont="1" applyFill="1" applyBorder="1" applyAlignment="1">
      <alignment vertical="center" wrapText="1"/>
      <protection/>
    </xf>
    <xf numFmtId="0" fontId="17" fillId="0" borderId="10" xfId="126" applyNumberFormat="1" applyFont="1" applyFill="1" applyBorder="1" applyAlignment="1" applyProtection="1">
      <alignment horizontal="right" vertical="center"/>
      <protection/>
    </xf>
    <xf numFmtId="178" fontId="20" fillId="0" borderId="10" xfId="44" applyNumberFormat="1" applyFont="1" applyFill="1" applyBorder="1" applyAlignment="1" applyProtection="1">
      <alignment horizontal="right" vertical="center"/>
      <protection/>
    </xf>
    <xf numFmtId="0" fontId="18" fillId="0" borderId="10" xfId="126" applyFont="1" applyFill="1" applyBorder="1" applyAlignment="1" applyProtection="1">
      <alignment horizontal="left" vertical="center" wrapText="1"/>
      <protection/>
    </xf>
    <xf numFmtId="0" fontId="11" fillId="0" borderId="16" xfId="126" applyFont="1" applyFill="1" applyBorder="1" applyAlignment="1">
      <alignment vertical="center" wrapText="1"/>
      <protection/>
    </xf>
    <xf numFmtId="0" fontId="48" fillId="0" borderId="0" xfId="126" applyFont="1" applyFill="1" applyBorder="1" applyAlignment="1" applyProtection="1">
      <alignment horizontal="center" vertical="center"/>
      <protection/>
    </xf>
    <xf numFmtId="0" fontId="18" fillId="0" borderId="10" xfId="126" applyFont="1" applyFill="1" applyBorder="1" applyAlignment="1" applyProtection="1">
      <alignment horizontal="center" vertical="center" wrapText="1"/>
      <protection/>
    </xf>
    <xf numFmtId="178" fontId="11" fillId="0" borderId="10" xfId="61" applyNumberFormat="1" applyFont="1" applyFill="1" applyBorder="1" applyAlignment="1" applyProtection="1">
      <alignment horizontal="center" vertical="center"/>
      <protection/>
    </xf>
    <xf numFmtId="2" fontId="11" fillId="0" borderId="10" xfId="0" applyNumberFormat="1" applyFont="1" applyFill="1" applyBorder="1" applyAlignment="1">
      <alignment horizontal="center" vertical="center"/>
    </xf>
    <xf numFmtId="178" fontId="11" fillId="0" borderId="10" xfId="0" applyNumberFormat="1" applyFont="1" applyFill="1" applyBorder="1" applyAlignment="1">
      <alignment horizontal="center" vertical="center"/>
    </xf>
    <xf numFmtId="0" fontId="11" fillId="0" borderId="12" xfId="126" applyFont="1" applyFill="1" applyBorder="1" applyAlignment="1">
      <alignment horizontal="center" vertical="center" wrapText="1"/>
      <protection/>
    </xf>
    <xf numFmtId="178" fontId="11" fillId="0" borderId="12" xfId="69" applyNumberFormat="1" applyFont="1" applyFill="1" applyBorder="1" applyAlignment="1" applyProtection="1">
      <alignment horizontal="center" vertical="center"/>
      <protection/>
    </xf>
    <xf numFmtId="2" fontId="11" fillId="0" borderId="12" xfId="126" applyNumberFormat="1" applyFont="1" applyFill="1" applyBorder="1" applyAlignment="1">
      <alignment horizontal="center" vertical="center"/>
      <protection/>
    </xf>
    <xf numFmtId="178" fontId="11" fillId="0" borderId="12" xfId="126" applyNumberFormat="1" applyFont="1" applyFill="1" applyBorder="1" applyAlignment="1">
      <alignment horizontal="center" vertical="center"/>
      <protection/>
    </xf>
    <xf numFmtId="0" fontId="18" fillId="0" borderId="10" xfId="126" applyFont="1" applyFill="1" applyBorder="1" applyAlignment="1">
      <alignment horizontal="center" vertical="center" wrapText="1"/>
      <protection/>
    </xf>
    <xf numFmtId="0" fontId="11" fillId="0" borderId="13" xfId="126" applyFont="1" applyFill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horizontal="center" vertical="center" wrapText="1"/>
    </xf>
    <xf numFmtId="178" fontId="11" fillId="0" borderId="12" xfId="61" applyNumberFormat="1" applyFont="1" applyFill="1" applyBorder="1" applyAlignment="1" applyProtection="1">
      <alignment horizontal="center" vertical="center"/>
      <protection/>
    </xf>
    <xf numFmtId="2" fontId="11" fillId="0" borderId="12" xfId="0" applyNumberFormat="1" applyFont="1" applyFill="1" applyBorder="1" applyAlignment="1">
      <alignment horizontal="center" vertical="center"/>
    </xf>
    <xf numFmtId="178" fontId="11" fillId="0" borderId="12" xfId="0" applyNumberFormat="1" applyFont="1" applyFill="1" applyBorder="1" applyAlignment="1">
      <alignment horizontal="center" vertical="center"/>
    </xf>
    <xf numFmtId="2" fontId="11" fillId="35" borderId="10" xfId="126" applyNumberFormat="1" applyFont="1" applyFill="1" applyBorder="1" applyAlignment="1">
      <alignment horizontal="center" vertical="center"/>
      <protection/>
    </xf>
    <xf numFmtId="178" fontId="11" fillId="35" borderId="10" xfId="126" applyNumberFormat="1" applyFont="1" applyFill="1" applyBorder="1" applyAlignment="1">
      <alignment horizontal="center" vertical="center"/>
      <protection/>
    </xf>
    <xf numFmtId="178" fontId="11" fillId="0" borderId="10" xfId="48" applyNumberFormat="1" applyFont="1" applyFill="1" applyBorder="1" applyAlignment="1" applyProtection="1">
      <alignment horizontal="center" vertical="center"/>
      <protection/>
    </xf>
    <xf numFmtId="0" fontId="13" fillId="0" borderId="10" xfId="126" applyFont="1" applyFill="1" applyBorder="1" applyAlignment="1">
      <alignment horizontal="center" vertical="center" wrapText="1"/>
      <protection/>
    </xf>
    <xf numFmtId="178" fontId="13" fillId="0" borderId="10" xfId="126" applyNumberFormat="1" applyFont="1" applyFill="1" applyBorder="1" applyAlignment="1">
      <alignment horizontal="center" vertical="center"/>
      <protection/>
    </xf>
    <xf numFmtId="178" fontId="11" fillId="0" borderId="0" xfId="126" applyNumberFormat="1" applyFont="1" applyFill="1" applyBorder="1" applyAlignment="1">
      <alignment horizontal="center" vertical="center"/>
      <protection/>
    </xf>
    <xf numFmtId="0" fontId="17" fillId="0" borderId="10" xfId="126" applyFont="1" applyFill="1" applyBorder="1" applyAlignment="1" applyProtection="1">
      <alignment horizontal="center" vertical="center"/>
      <protection/>
    </xf>
    <xf numFmtId="2" fontId="11" fillId="0" borderId="10" xfId="69" applyNumberFormat="1" applyFont="1" applyFill="1" applyBorder="1" applyAlignment="1" applyProtection="1">
      <alignment horizontal="center" vertical="center"/>
      <protection/>
    </xf>
    <xf numFmtId="2" fontId="13" fillId="0" borderId="10" xfId="69" applyNumberFormat="1" applyFont="1" applyFill="1" applyBorder="1" applyAlignment="1" applyProtection="1">
      <alignment horizontal="center" vertical="center"/>
      <protection/>
    </xf>
    <xf numFmtId="2" fontId="11" fillId="0" borderId="0" xfId="126" applyNumberFormat="1" applyFont="1" applyFill="1" applyBorder="1" applyAlignment="1">
      <alignment horizontal="center" vertical="center"/>
      <protection/>
    </xf>
    <xf numFmtId="0" fontId="15" fillId="0" borderId="0" xfId="126" applyFont="1" applyFill="1" applyBorder="1" applyAlignment="1" applyProtection="1">
      <alignment horizontal="center" vertical="center"/>
      <protection/>
    </xf>
    <xf numFmtId="49" fontId="15" fillId="0" borderId="0" xfId="126" applyNumberFormat="1" applyFont="1" applyFill="1" applyBorder="1" applyAlignment="1" applyProtection="1">
      <alignment horizontal="center" vertical="center"/>
      <protection/>
    </xf>
    <xf numFmtId="2" fontId="1" fillId="0" borderId="0" xfId="69" applyNumberFormat="1" applyFont="1" applyFill="1" applyBorder="1" applyAlignment="1" applyProtection="1">
      <alignment horizontal="center" vertical="center"/>
      <protection/>
    </xf>
    <xf numFmtId="2" fontId="11" fillId="0" borderId="0" xfId="69" applyNumberFormat="1" applyFont="1" applyFill="1" applyBorder="1" applyAlignment="1" applyProtection="1">
      <alignment horizontal="center" vertical="center"/>
      <protection/>
    </xf>
    <xf numFmtId="0" fontId="11" fillId="0" borderId="11" xfId="126" applyFont="1" applyFill="1" applyBorder="1" applyAlignment="1" applyProtection="1">
      <alignment horizontal="center" vertical="center"/>
      <protection/>
    </xf>
    <xf numFmtId="2" fontId="11" fillId="0" borderId="11" xfId="69" applyNumberFormat="1" applyFont="1" applyFill="1" applyBorder="1" applyAlignment="1" applyProtection="1">
      <alignment horizontal="center" vertical="center"/>
      <protection/>
    </xf>
    <xf numFmtId="0" fontId="11" fillId="0" borderId="11" xfId="126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49" fontId="1" fillId="0" borderId="0" xfId="126" applyNumberFormat="1" applyFont="1" applyFill="1" applyBorder="1" applyAlignment="1">
      <alignment horizontal="center" vertical="center"/>
      <protection/>
    </xf>
    <xf numFmtId="2" fontId="1" fillId="0" borderId="0" xfId="126" applyNumberFormat="1" applyFont="1" applyFill="1" applyBorder="1" applyAlignment="1">
      <alignment horizontal="center" vertical="center"/>
      <protection/>
    </xf>
    <xf numFmtId="0" fontId="18" fillId="0" borderId="10" xfId="126" applyFont="1" applyFill="1" applyBorder="1" applyAlignment="1" applyProtection="1">
      <alignment horizontal="left" vertical="center"/>
      <protection/>
    </xf>
    <xf numFmtId="0" fontId="11" fillId="0" borderId="10" xfId="126" applyFont="1" applyFill="1" applyBorder="1" applyAlignment="1" applyProtection="1">
      <alignment horizontal="left" vertical="center" wrapText="1"/>
      <protection/>
    </xf>
    <xf numFmtId="178" fontId="11" fillId="0" borderId="10" xfId="61" applyNumberFormat="1" applyFont="1" applyFill="1" applyBorder="1" applyAlignment="1" applyProtection="1">
      <alignment horizontal="right" vertical="center"/>
      <protection/>
    </xf>
    <xf numFmtId="2" fontId="11" fillId="0" borderId="12" xfId="126" applyNumberFormat="1" applyFont="1" applyFill="1" applyBorder="1" applyAlignment="1">
      <alignment horizontal="right" vertical="center"/>
      <protection/>
    </xf>
    <xf numFmtId="178" fontId="11" fillId="0" borderId="12" xfId="126" applyNumberFormat="1" applyFont="1" applyFill="1" applyBorder="1" applyAlignment="1">
      <alignment horizontal="right" vertical="center"/>
      <protection/>
    </xf>
    <xf numFmtId="0" fontId="11" fillId="0" borderId="17" xfId="126" applyNumberFormat="1" applyFont="1" applyFill="1" applyBorder="1" applyAlignment="1">
      <alignment horizontal="center" vertical="center" wrapText="1"/>
      <protection/>
    </xf>
    <xf numFmtId="2" fontId="11" fillId="0" borderId="16" xfId="126" applyNumberFormat="1" applyFont="1" applyFill="1" applyBorder="1" applyAlignment="1">
      <alignment horizontal="right" vertical="center"/>
      <protection/>
    </xf>
    <xf numFmtId="0" fontId="20" fillId="0" borderId="10" xfId="0" applyFont="1" applyFill="1" applyBorder="1" applyAlignment="1">
      <alignment vertical="center" wrapText="1"/>
    </xf>
    <xf numFmtId="0" fontId="18" fillId="0" borderId="12" xfId="126" applyFont="1" applyFill="1" applyBorder="1" applyAlignment="1" applyProtection="1">
      <alignment horizontal="left" vertical="center"/>
      <protection/>
    </xf>
    <xf numFmtId="178" fontId="11" fillId="0" borderId="12" xfId="69" applyNumberFormat="1" applyFont="1" applyFill="1" applyBorder="1" applyAlignment="1" applyProtection="1">
      <alignment horizontal="right" vertical="center"/>
      <protection/>
    </xf>
    <xf numFmtId="0" fontId="55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vertical="center"/>
    </xf>
    <xf numFmtId="0" fontId="11" fillId="0" borderId="0" xfId="126" applyNumberFormat="1" applyFont="1" applyFill="1" applyBorder="1" applyAlignment="1">
      <alignment horizontal="center" vertical="center" wrapText="1"/>
      <protection/>
    </xf>
    <xf numFmtId="0" fontId="53" fillId="0" borderId="0" xfId="126" applyFont="1" applyFill="1" applyBorder="1" applyAlignment="1">
      <alignment vertical="center" wrapText="1"/>
      <protection/>
    </xf>
    <xf numFmtId="0" fontId="11" fillId="0" borderId="0" xfId="126" applyFont="1" applyFill="1" applyBorder="1" applyAlignment="1">
      <alignment horizontal="center" vertical="center" wrapText="1"/>
      <protection/>
    </xf>
    <xf numFmtId="178" fontId="11" fillId="0" borderId="0" xfId="69" applyNumberFormat="1" applyFont="1" applyFill="1" applyBorder="1" applyAlignment="1" applyProtection="1">
      <alignment horizontal="right" vertical="center"/>
      <protection/>
    </xf>
    <xf numFmtId="2" fontId="11" fillId="0" borderId="0" xfId="126" applyNumberFormat="1" applyFont="1" applyFill="1" applyBorder="1" applyAlignment="1">
      <alignment horizontal="right" vertical="center"/>
      <protection/>
    </xf>
    <xf numFmtId="0" fontId="11" fillId="0" borderId="0" xfId="126" applyFont="1" applyFill="1" applyBorder="1" applyAlignment="1">
      <alignment vertical="center" wrapText="1"/>
      <protection/>
    </xf>
    <xf numFmtId="49" fontId="13" fillId="0" borderId="10" xfId="126" applyNumberFormat="1" applyFont="1" applyFill="1" applyBorder="1" applyAlignment="1">
      <alignment horizontal="left" vertical="center"/>
      <protection/>
    </xf>
    <xf numFmtId="0" fontId="11" fillId="0" borderId="10" xfId="126" applyFont="1" applyFill="1" applyBorder="1" applyAlignment="1">
      <alignment horizontal="center" vertical="center"/>
      <protection/>
    </xf>
    <xf numFmtId="2" fontId="11" fillId="0" borderId="10" xfId="126" applyNumberFormat="1" applyFont="1" applyFill="1" applyBorder="1" applyAlignment="1">
      <alignment vertical="center"/>
      <protection/>
    </xf>
    <xf numFmtId="0" fontId="11" fillId="0" borderId="10" xfId="126" applyFont="1" applyFill="1" applyBorder="1" applyAlignment="1">
      <alignment vertical="center"/>
      <protection/>
    </xf>
    <xf numFmtId="0" fontId="52" fillId="0" borderId="10" xfId="126" applyFont="1" applyFill="1" applyBorder="1" applyAlignment="1">
      <alignment vertical="center"/>
      <protection/>
    </xf>
    <xf numFmtId="0" fontId="11" fillId="35" borderId="10" xfId="126" applyFont="1" applyFill="1" applyBorder="1" applyAlignment="1">
      <alignment horizontal="center" vertical="center" wrapText="1"/>
      <protection/>
    </xf>
    <xf numFmtId="178" fontId="11" fillId="35" borderId="10" xfId="69" applyNumberFormat="1" applyFont="1" applyFill="1" applyBorder="1" applyAlignment="1" applyProtection="1">
      <alignment horizontal="right" vertical="center"/>
      <protection/>
    </xf>
    <xf numFmtId="0" fontId="11" fillId="35" borderId="10" xfId="0" applyFont="1" applyFill="1" applyBorder="1" applyAlignment="1">
      <alignment horizontal="center" vertical="center" wrapText="1"/>
    </xf>
    <xf numFmtId="178" fontId="11" fillId="35" borderId="10" xfId="48" applyNumberFormat="1" applyFont="1" applyFill="1" applyBorder="1" applyAlignment="1" applyProtection="1">
      <alignment horizontal="right" vertical="center"/>
      <protection/>
    </xf>
    <xf numFmtId="2" fontId="11" fillId="0" borderId="13" xfId="0" applyNumberFormat="1" applyFont="1" applyBorder="1" applyAlignment="1">
      <alignment horizontal="center" vertical="center" wrapText="1"/>
    </xf>
    <xf numFmtId="2" fontId="11" fillId="0" borderId="18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left" wrapText="1"/>
      <protection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left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Border="1" applyAlignment="1">
      <alignment horizontal="right"/>
    </xf>
    <xf numFmtId="0" fontId="11" fillId="0" borderId="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/>
    </xf>
    <xf numFmtId="0" fontId="17" fillId="0" borderId="10" xfId="0" applyFont="1" applyFill="1" applyBorder="1" applyAlignment="1">
      <alignment horizontal="right"/>
    </xf>
    <xf numFmtId="0" fontId="11" fillId="0" borderId="19" xfId="0" applyFont="1" applyBorder="1" applyAlignment="1">
      <alignment horizontal="right" vertical="center" wrapText="1"/>
    </xf>
    <xf numFmtId="0" fontId="11" fillId="0" borderId="20" xfId="0" applyFont="1" applyBorder="1" applyAlignment="1">
      <alignment horizontal="right" vertical="center" wrapText="1"/>
    </xf>
    <xf numFmtId="0" fontId="13" fillId="0" borderId="18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1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177" fontId="18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 applyProtection="1">
      <alignment horizontal="center" vertical="center" textRotation="90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2" fontId="1" fillId="0" borderId="21" xfId="44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22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0" fontId="12" fillId="0" borderId="0" xfId="126" applyFont="1" applyFill="1" applyBorder="1" applyAlignment="1">
      <alignment horizontal="center" vertical="center"/>
      <protection/>
    </xf>
    <xf numFmtId="0" fontId="14" fillId="0" borderId="0" xfId="126" applyFont="1" applyFill="1" applyBorder="1" applyAlignment="1">
      <alignment horizontal="center" vertical="center"/>
      <protection/>
    </xf>
    <xf numFmtId="0" fontId="17" fillId="0" borderId="0" xfId="126" applyFont="1" applyFill="1" applyBorder="1" applyAlignment="1">
      <alignment horizontal="right" vertical="center"/>
      <protection/>
    </xf>
    <xf numFmtId="177" fontId="18" fillId="0" borderId="0" xfId="126" applyNumberFormat="1" applyFont="1" applyFill="1" applyBorder="1" applyAlignment="1">
      <alignment horizontal="left" vertical="center"/>
      <protection/>
    </xf>
    <xf numFmtId="0" fontId="17" fillId="0" borderId="10" xfId="126" applyFont="1" applyFill="1" applyBorder="1" applyAlignment="1" applyProtection="1">
      <alignment horizontal="center" vertical="center" textRotation="90" wrapText="1"/>
      <protection/>
    </xf>
    <xf numFmtId="0" fontId="17" fillId="0" borderId="10" xfId="126" applyFont="1" applyFill="1" applyBorder="1" applyAlignment="1" applyProtection="1">
      <alignment horizontal="center" vertical="center" wrapText="1"/>
      <protection/>
    </xf>
    <xf numFmtId="0" fontId="17" fillId="0" borderId="10" xfId="126" applyFont="1" applyFill="1" applyBorder="1" applyAlignment="1">
      <alignment horizontal="center" vertical="center" wrapText="1"/>
      <protection/>
    </xf>
    <xf numFmtId="0" fontId="11" fillId="0" borderId="0" xfId="126" applyFont="1" applyFill="1" applyBorder="1" applyAlignment="1" applyProtection="1">
      <alignment horizontal="right" vertical="center"/>
      <protection/>
    </xf>
    <xf numFmtId="0" fontId="13" fillId="0" borderId="10" xfId="126" applyFont="1" applyFill="1" applyBorder="1" applyAlignment="1">
      <alignment horizontal="right" vertical="center" wrapText="1"/>
      <protection/>
    </xf>
    <xf numFmtId="0" fontId="11" fillId="0" borderId="0" xfId="126" applyFont="1" applyFill="1" applyBorder="1" applyAlignment="1">
      <alignment horizontal="right" vertical="center"/>
      <protection/>
    </xf>
    <xf numFmtId="0" fontId="1" fillId="0" borderId="21" xfId="126" applyFont="1" applyFill="1" applyBorder="1" applyAlignment="1" applyProtection="1">
      <alignment horizontal="center" vertical="center"/>
      <protection/>
    </xf>
    <xf numFmtId="2" fontId="1" fillId="0" borderId="21" xfId="69" applyNumberFormat="1" applyFont="1" applyFill="1" applyBorder="1" applyAlignment="1" applyProtection="1">
      <alignment horizontal="center" vertical="center"/>
      <protection/>
    </xf>
    <xf numFmtId="0" fontId="12" fillId="0" borderId="0" xfId="128" applyFont="1" applyFill="1" applyBorder="1" applyAlignment="1">
      <alignment horizontal="center" vertical="center"/>
      <protection/>
    </xf>
    <xf numFmtId="0" fontId="14" fillId="0" borderId="0" xfId="128" applyFont="1" applyFill="1" applyBorder="1" applyAlignment="1">
      <alignment horizontal="center" vertical="center"/>
      <protection/>
    </xf>
    <xf numFmtId="0" fontId="17" fillId="0" borderId="0" xfId="128" applyFont="1" applyFill="1" applyBorder="1" applyAlignment="1">
      <alignment horizontal="right" vertical="center"/>
      <protection/>
    </xf>
    <xf numFmtId="177" fontId="18" fillId="0" borderId="0" xfId="128" applyNumberFormat="1" applyFont="1" applyFill="1" applyBorder="1" applyAlignment="1">
      <alignment horizontal="left" vertical="center"/>
      <protection/>
    </xf>
    <xf numFmtId="0" fontId="17" fillId="0" borderId="10" xfId="128" applyFont="1" applyFill="1" applyBorder="1" applyAlignment="1" applyProtection="1">
      <alignment horizontal="center" vertical="center" textRotation="90" wrapText="1"/>
      <protection/>
    </xf>
    <xf numFmtId="0" fontId="17" fillId="0" borderId="10" xfId="128" applyFont="1" applyFill="1" applyBorder="1" applyAlignment="1" applyProtection="1">
      <alignment horizontal="center" vertical="center" wrapText="1"/>
      <protection/>
    </xf>
    <xf numFmtId="0" fontId="17" fillId="0" borderId="10" xfId="128" applyFont="1" applyFill="1" applyBorder="1" applyAlignment="1">
      <alignment horizontal="center" vertical="center" wrapText="1"/>
      <protection/>
    </xf>
    <xf numFmtId="0" fontId="11" fillId="0" borderId="0" xfId="128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11" fillId="0" borderId="0" xfId="128" applyFont="1" applyFill="1" applyBorder="1" applyAlignment="1" applyProtection="1">
      <alignment horizontal="right" vertical="center"/>
      <protection/>
    </xf>
    <xf numFmtId="0" fontId="13" fillId="0" borderId="10" xfId="128" applyFont="1" applyFill="1" applyBorder="1" applyAlignment="1">
      <alignment horizontal="right" vertical="center" wrapText="1"/>
      <protection/>
    </xf>
    <xf numFmtId="0" fontId="11" fillId="0" borderId="0" xfId="128" applyFont="1" applyFill="1" applyBorder="1" applyAlignment="1">
      <alignment horizontal="right" vertical="center"/>
      <protection/>
    </xf>
    <xf numFmtId="0" fontId="1" fillId="0" borderId="21" xfId="128" applyFont="1" applyFill="1" applyBorder="1" applyAlignment="1" applyProtection="1">
      <alignment horizontal="center" vertical="center"/>
      <protection/>
    </xf>
    <xf numFmtId="2" fontId="1" fillId="0" borderId="21" xfId="48" applyNumberFormat="1" applyFont="1" applyFill="1" applyBorder="1" applyAlignment="1" applyProtection="1">
      <alignment horizontal="center" vertical="center"/>
      <protection/>
    </xf>
    <xf numFmtId="177" fontId="49" fillId="0" borderId="0" xfId="126" applyNumberFormat="1" applyFont="1" applyFill="1" applyBorder="1" applyAlignment="1">
      <alignment horizontal="center" vertical="center"/>
      <protection/>
    </xf>
    <xf numFmtId="0" fontId="54" fillId="0" borderId="0" xfId="126" applyFont="1" applyFill="1" applyBorder="1" applyAlignment="1">
      <alignment horizontal="center" vertical="center"/>
      <protection/>
    </xf>
    <xf numFmtId="177" fontId="17" fillId="0" borderId="0" xfId="126" applyNumberFormat="1" applyFont="1" applyFill="1" applyBorder="1" applyAlignment="1">
      <alignment horizontal="center" vertical="center"/>
      <protection/>
    </xf>
    <xf numFmtId="0" fontId="11" fillId="0" borderId="0" xfId="126" applyFont="1" applyFill="1" applyBorder="1" applyAlignment="1" applyProtection="1">
      <alignment horizontal="center" vertical="center"/>
      <protection/>
    </xf>
    <xf numFmtId="0" fontId="11" fillId="0" borderId="0" xfId="126" applyFont="1" applyFill="1" applyBorder="1" applyAlignment="1">
      <alignment horizontal="center" vertical="center"/>
      <protection/>
    </xf>
    <xf numFmtId="0" fontId="17" fillId="0" borderId="0" xfId="126" applyFont="1" applyFill="1" applyBorder="1" applyAlignment="1">
      <alignment horizontal="center" vertical="center"/>
      <protection/>
    </xf>
    <xf numFmtId="177" fontId="18" fillId="0" borderId="0" xfId="126" applyNumberFormat="1" applyFont="1" applyFill="1" applyBorder="1" applyAlignment="1">
      <alignment horizontal="center" vertical="center"/>
      <protection/>
    </xf>
    <xf numFmtId="0" fontId="13" fillId="0" borderId="12" xfId="0" applyFont="1" applyFill="1" applyBorder="1" applyAlignment="1">
      <alignment horizontal="center" vertical="center"/>
    </xf>
    <xf numFmtId="0" fontId="13" fillId="0" borderId="10" xfId="126" applyFont="1" applyFill="1" applyBorder="1" applyAlignment="1">
      <alignment horizontal="center" vertical="center" wrapText="1"/>
      <protection/>
    </xf>
    <xf numFmtId="177" fontId="49" fillId="0" borderId="11" xfId="126" applyNumberFormat="1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</cellXfs>
  <cellStyles count="156">
    <cellStyle name="Normal" xfId="0"/>
    <cellStyle name="_Real jumtins" xfId="15"/>
    <cellStyle name="_TreijsAgris jumts(Kubins)" xfId="16"/>
    <cellStyle name="1. izcēlums" xfId="17"/>
    <cellStyle name="2. izcēlums" xfId="18"/>
    <cellStyle name="20% no 1. izcēluma" xfId="19"/>
    <cellStyle name="20% no 2. izcēluma" xfId="20"/>
    <cellStyle name="20% no 3. izcēluma" xfId="21"/>
    <cellStyle name="20% no 4. izcēluma" xfId="22"/>
    <cellStyle name="20% no 5. izcēluma" xfId="23"/>
    <cellStyle name="20% no 6. izcēluma" xfId="24"/>
    <cellStyle name="3. izcēlums " xfId="25"/>
    <cellStyle name="4. izcēlums" xfId="26"/>
    <cellStyle name="40% no 1. izcēluma" xfId="27"/>
    <cellStyle name="40% no 2. izcēluma" xfId="28"/>
    <cellStyle name="40% no 3. izcēluma" xfId="29"/>
    <cellStyle name="40% no 4. izcēluma" xfId="30"/>
    <cellStyle name="40% no 5. izcēluma" xfId="31"/>
    <cellStyle name="40% no 6. izcēluma" xfId="32"/>
    <cellStyle name="5. izcēlums" xfId="33"/>
    <cellStyle name="6. izcēlums" xfId="34"/>
    <cellStyle name="60% no 1. izcēluma" xfId="35"/>
    <cellStyle name="60% no 2. izcēluma" xfId="36"/>
    <cellStyle name="60% no 3. izcēluma" xfId="37"/>
    <cellStyle name="60% no 4. izcēluma" xfId="38"/>
    <cellStyle name="60% no 5. izcēluma" xfId="39"/>
    <cellStyle name="60% no 6. izcēluma" xfId="40"/>
    <cellStyle name="Äåķåęķūé [0]_laroux" xfId="41"/>
    <cellStyle name="Äåķåęķūé_laroux" xfId="42"/>
    <cellStyle name="Aprēķināšana" xfId="43"/>
    <cellStyle name="Comma" xfId="44"/>
    <cellStyle name="Comma [0]" xfId="45"/>
    <cellStyle name="Atdalītāji 2" xfId="46"/>
    <cellStyle name="Brīdinājuma teksts" xfId="47"/>
    <cellStyle name="Comma 10" xfId="48"/>
    <cellStyle name="Comma 14" xfId="49"/>
    <cellStyle name="Comma 2" xfId="50"/>
    <cellStyle name="Comma 2 10" xfId="51"/>
    <cellStyle name="Comma 2 11" xfId="52"/>
    <cellStyle name="Comma 2 12" xfId="53"/>
    <cellStyle name="Comma 2 13" xfId="54"/>
    <cellStyle name="Comma 2 14" xfId="55"/>
    <cellStyle name="Comma 2 15" xfId="56"/>
    <cellStyle name="Comma 2 16" xfId="57"/>
    <cellStyle name="Comma 2 17" xfId="58"/>
    <cellStyle name="Comma 2 18" xfId="59"/>
    <cellStyle name="Comma 2 19" xfId="60"/>
    <cellStyle name="Comma 2 2" xfId="61"/>
    <cellStyle name="Comma 2 3" xfId="62"/>
    <cellStyle name="Comma 2 4" xfId="63"/>
    <cellStyle name="Comma 2 5" xfId="64"/>
    <cellStyle name="Comma 2 6" xfId="65"/>
    <cellStyle name="Comma 2 7" xfId="66"/>
    <cellStyle name="Comma 2 8" xfId="67"/>
    <cellStyle name="Comma 2 9" xfId="68"/>
    <cellStyle name="Comma 3" xfId="69"/>
    <cellStyle name="Comma 4" xfId="70"/>
    <cellStyle name="Date" xfId="71"/>
    <cellStyle name="Dezimal [0]_Nossner_Brücke" xfId="72"/>
    <cellStyle name="Dezimal_en_Master" xfId="73"/>
    <cellStyle name="Divider" xfId="74"/>
    <cellStyle name="Euro" xfId="75"/>
    <cellStyle name="Euro 10" xfId="76"/>
    <cellStyle name="Euro 11" xfId="77"/>
    <cellStyle name="Euro 12" xfId="78"/>
    <cellStyle name="Euro 13" xfId="79"/>
    <cellStyle name="Euro 14" xfId="80"/>
    <cellStyle name="Euro 15" xfId="81"/>
    <cellStyle name="Euro 16" xfId="82"/>
    <cellStyle name="Euro 17" xfId="83"/>
    <cellStyle name="Euro 18" xfId="84"/>
    <cellStyle name="Euro 2" xfId="85"/>
    <cellStyle name="Euro 3" xfId="86"/>
    <cellStyle name="Euro 4" xfId="87"/>
    <cellStyle name="Euro 5" xfId="88"/>
    <cellStyle name="Euro 6" xfId="89"/>
    <cellStyle name="Euro 7" xfId="90"/>
    <cellStyle name="Euro 8" xfId="91"/>
    <cellStyle name="Euro 9" xfId="92"/>
    <cellStyle name="Fixed" xfId="93"/>
    <cellStyle name="Heading1 1" xfId="94"/>
    <cellStyle name="Heading1 1 1" xfId="95"/>
    <cellStyle name="Heading1 2" xfId="96"/>
    <cellStyle name="Heading2" xfId="97"/>
    <cellStyle name="Headline I" xfId="98"/>
    <cellStyle name="Headline II" xfId="99"/>
    <cellStyle name="Headline III" xfId="100"/>
    <cellStyle name="Ievade" xfId="101"/>
    <cellStyle name="Īįū÷ķūé_laroux" xfId="102"/>
    <cellStyle name="Izvade" xfId="103"/>
    <cellStyle name="Kopsumma" xfId="104"/>
    <cellStyle name="Labs" xfId="105"/>
    <cellStyle name="Neitrāls" xfId="106"/>
    <cellStyle name="Normaali_light-98_gun" xfId="107"/>
    <cellStyle name="Normal 2" xfId="108"/>
    <cellStyle name="Normal 2 10" xfId="109"/>
    <cellStyle name="Normal 2 11" xfId="110"/>
    <cellStyle name="Normal 2 12" xfId="111"/>
    <cellStyle name="Normal 2 13" xfId="112"/>
    <cellStyle name="Normal 2 14" xfId="113"/>
    <cellStyle name="Normal 2 15" xfId="114"/>
    <cellStyle name="Normal 2 16" xfId="115"/>
    <cellStyle name="Normal 2 17" xfId="116"/>
    <cellStyle name="Normal 2 18" xfId="117"/>
    <cellStyle name="Normal 2 2" xfId="118"/>
    <cellStyle name="Normal 2 3" xfId="119"/>
    <cellStyle name="Normal 2 4" xfId="120"/>
    <cellStyle name="Normal 2 5" xfId="121"/>
    <cellStyle name="Normal 2 6" xfId="122"/>
    <cellStyle name="Normal 2 7" xfId="123"/>
    <cellStyle name="Normal 2 8" xfId="124"/>
    <cellStyle name="Normal 2 9" xfId="125"/>
    <cellStyle name="Normal 3" xfId="126"/>
    <cellStyle name="Normal 3 2" xfId="127"/>
    <cellStyle name="Normal 4" xfId="128"/>
    <cellStyle name="Nosaukums" xfId="129"/>
    <cellStyle name="Pārbaudes šūna" xfId="130"/>
    <cellStyle name="Paskaidrojošs teksts" xfId="131"/>
    <cellStyle name="Percent 2" xfId="132"/>
    <cellStyle name="Percent 2 10" xfId="133"/>
    <cellStyle name="Percent 2 11" xfId="134"/>
    <cellStyle name="Percent 2 12" xfId="135"/>
    <cellStyle name="Percent 2 13" xfId="136"/>
    <cellStyle name="Percent 2 14" xfId="137"/>
    <cellStyle name="Percent 2 15" xfId="138"/>
    <cellStyle name="Percent 2 16" xfId="139"/>
    <cellStyle name="Percent 2 17" xfId="140"/>
    <cellStyle name="Percent 2 18" xfId="141"/>
    <cellStyle name="Percent 2 2" xfId="142"/>
    <cellStyle name="Percent 2 3" xfId="143"/>
    <cellStyle name="Percent 2 4" xfId="144"/>
    <cellStyle name="Percent 2 5" xfId="145"/>
    <cellStyle name="Percent 2 6" xfId="146"/>
    <cellStyle name="Percent 2 7" xfId="147"/>
    <cellStyle name="Percent 2 8" xfId="148"/>
    <cellStyle name="Percent 2 9" xfId="149"/>
    <cellStyle name="Percent 3" xfId="150"/>
    <cellStyle name="Piezīme" xfId="151"/>
    <cellStyle name="Position" xfId="152"/>
    <cellStyle name="Percent" xfId="153"/>
    <cellStyle name="Saistītā šūna" xfId="154"/>
    <cellStyle name="Slikts" xfId="155"/>
    <cellStyle name="Standard_cm_Master" xfId="156"/>
    <cellStyle name="Style 1" xfId="157"/>
    <cellStyle name="Style 2" xfId="158"/>
    <cellStyle name="Unit" xfId="159"/>
    <cellStyle name="Currency" xfId="160"/>
    <cellStyle name="Currency [0]" xfId="161"/>
    <cellStyle name="Virsraksts 1" xfId="162"/>
    <cellStyle name="Virsraksts 2" xfId="163"/>
    <cellStyle name="Virsraksts 3" xfId="164"/>
    <cellStyle name="Virsraksts 4" xfId="165"/>
    <cellStyle name="Währung [0]_Nossner_Brücke" xfId="166"/>
    <cellStyle name="Währung_en_Master" xfId="167"/>
    <cellStyle name="Обычный_2009-04-27_PED IESN" xfId="168"/>
    <cellStyle name="Финансовый_VID_Rigas_Muita BST 1 un 2 karta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me2\c\Tames&amp;Tames\Formati\kop-tamem-3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ralds\c\My%20Documents\Desktop\Arhivs\Visadi%20Excel\Paisum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lita\Local%20Settings\Temporary%20Internet%20Files\Content.Outlook\X2IIN3L4\T&#257;me\TP%20t&#257;me\2.k&#257;rta-BA.T\Documents%20and%20Settings\richix\Local%20Settings\Temporary%20Internet%20Files\Content.IE5\2WVCFENQ\priedites%20apjomi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lita\Local%20Settings\Temporary%20Internet%20Files\Content.Outlook\X2IIN3L4\2%20k&#257;rta-BA_22%2001%202013_izmai&#326;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lita\Local%20Settings\Temporary%20Internet%20Files\Content.Outlook\X2IIN3L4\T&#257;me\TP%20t&#257;me\2.k&#257;rta-BA.T\Paraugs-%20Liv&#257;nu%20t&#257;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lita\Local%20Settings\Temporary%20Internet%20Files\Content.Outlook\X2IIN3L4\T&#257;me\TP%20t&#257;me\2.k&#257;rta-BA.T\tame_L&#299;v&#257;nu%20centr&#257;l&#257;%20bibliot&#275;ka%2003.02.2010_aizvest&#257;%20gala%20versij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D-SLIMNIC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-3\SharedDocs\Documents%20and%20Settings\janis\Desktop\Kopt&#257;me%20Nr%2001-kori&#29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ira\c\My%20Documents\Tames_2001\Sigulda_RaibaisSun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-3\SharedDocs\Documents%20and%20Settings\emadmin\Local%20Settings\Temporary%20Internet%20Files\Content.IE5\RBIERRJK\Apdares%20tabula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nda\my%20documents\WINDOWS\TEMP\Rar$DI35.100\LNB%20gr&#257;matu%20kr&#257;tuv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lexander\AD-ALUNA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t,rād."/>
      <sheetName val="KOPRĀME-1"/>
      <sheetName val=" veids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00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1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urvis"/>
      <sheetName val="logi"/>
      <sheetName val="spēļ laukums"/>
      <sheetName val="apjomu aprēķin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ask.r."/>
      <sheetName val="1-1 (1)"/>
      <sheetName val="1-3 (1)"/>
      <sheetName val="1_4 (4)"/>
      <sheetName val="1_5(2)"/>
      <sheetName val="1_6 (4)"/>
      <sheetName val="1-7 (4)"/>
      <sheetName val="1_8 (4)"/>
      <sheetName val="1_9 (4)"/>
      <sheetName val="2_1 (1)"/>
      <sheetName val="2_2 (1)"/>
      <sheetName val="2_4 (1)"/>
      <sheetName val="2_5 (1)"/>
      <sheetName val="2_6 (1)"/>
      <sheetName val="3_1 (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sūtītāja Koptāme"/>
      <sheetName val="Kopsavilkumu apr"/>
      <sheetName val="Koptāme"/>
      <sheetName val="1_1"/>
      <sheetName val="1_2"/>
      <sheetName val="1_3"/>
      <sheetName val="1_4"/>
      <sheetName val="1_5"/>
      <sheetName val="1_6"/>
      <sheetName val="1_7"/>
      <sheetName val="1_8"/>
      <sheetName val="1_9"/>
      <sheetName val="1_10"/>
      <sheetName val="2_1"/>
      <sheetName val="2_2"/>
      <sheetName val="2_3"/>
      <sheetName val="2_4"/>
      <sheetName val="2_5"/>
      <sheetName val="2_6"/>
      <sheetName val="2_7"/>
      <sheetName val="2_8"/>
      <sheetName val="2_9"/>
      <sheetName val="2_10"/>
      <sheetName val="3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sūtītāja Koptāme"/>
      <sheetName val="Kopsavilkumu apr"/>
      <sheetName val="Koptāme"/>
      <sheetName val="1_1"/>
      <sheetName val="1_2"/>
      <sheetName val="1_3"/>
      <sheetName val="1_4"/>
      <sheetName val="1_5"/>
      <sheetName val="1_6"/>
      <sheetName val="1_7"/>
      <sheetName val="1_8"/>
      <sheetName val="1_9"/>
      <sheetName val="1_10"/>
      <sheetName val="2_1"/>
      <sheetName val="2_2"/>
      <sheetName val="2_3"/>
      <sheetName val="2_4"/>
      <sheetName val="2_5"/>
      <sheetName val="2_6"/>
      <sheetName val="2_7"/>
      <sheetName val="2_8"/>
      <sheetName val="2_9"/>
      <sheetName val="2_10"/>
      <sheetName val="3_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kts F.2"/>
      <sheetName val="II.etaps"/>
      <sheetName val="II.etaps (1)"/>
      <sheetName val="II.etaps (2)"/>
      <sheetName val="III. kārta"/>
      <sheetName val="Apliecinājums"/>
      <sheetName val="Tāme-titul"/>
      <sheetName val="P.-n. akts"/>
      <sheetName val="Pārskats-2.kārta"/>
      <sheetName val="Pārskats-3.kārta "/>
      <sheetName val="Sheet2"/>
      <sheetName val="Sheet3"/>
      <sheetName val="Pārskat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optāme"/>
      <sheetName val="kuiviži"/>
      <sheetName val="korģene"/>
      <sheetName val="Svetciems"/>
      <sheetName val="Vecsalaca"/>
      <sheetName val="Salacgrīva"/>
      <sheetName val="kalendārais darbu 57"/>
      <sheetName val="kalendārais mašīnu"/>
      <sheetName val="kalendārais darbaspeka 57"/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-1X(527)"/>
      <sheetName val="G-1X(2520)"/>
      <sheetName val="Variāntu_salīdzīnājums"/>
      <sheetName val="G-1X(2520+mastertop)"/>
      <sheetName val="G-3(540)"/>
      <sheetName val="Lokala_tāme"/>
      <sheetName val="plēve"/>
      <sheetName val="maks_graf."/>
      <sheetName val="grafiks_ligumām"/>
      <sheetName val="darbagrafiks"/>
      <sheetName val="Sheet1"/>
      <sheetName val="betons"/>
      <sheetName val="G_1X_2520_mastertop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rabstāvs"/>
      <sheetName val="1_ stāvs"/>
      <sheetName val="2_ stāv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optāme"/>
      <sheetName val="Demontāža"/>
      <sheetName val="Eksped.ēkas izbūve"/>
      <sheetName val="Krātuves rekon."/>
      <sheetName val="Garāža"/>
      <sheetName val="Gaisa apk.un vent."/>
      <sheetName val="Elektro mont."/>
      <sheetName val="Elektro ārejā"/>
      <sheetName val="Uguns sist."/>
      <sheetName val="Labiekārtošan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āme-piedāvājums"/>
      <sheetName val="Tāme-līgums"/>
      <sheetName val="Tāme-titul"/>
    </sheetNames>
  </externalBook>
</externalLink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Zeros="0" view="pageBreakPreview" zoomScale="70" zoomScaleNormal="55" zoomScaleSheetLayoutView="70" zoomScalePageLayoutView="0" workbookViewId="0" topLeftCell="A7">
      <selection activeCell="C12" sqref="C12"/>
    </sheetView>
  </sheetViews>
  <sheetFormatPr defaultColWidth="8.796875" defaultRowHeight="15.75"/>
  <cols>
    <col min="1" max="1" width="9.8984375" style="4" customWidth="1"/>
    <col min="2" max="2" width="6.59765625" style="4" customWidth="1"/>
    <col min="3" max="3" width="32.8984375" style="4" customWidth="1"/>
    <col min="4" max="4" width="15" style="4" customWidth="1"/>
    <col min="5" max="5" width="14.09765625" style="4" customWidth="1"/>
    <col min="6" max="6" width="16" style="4" customWidth="1"/>
    <col min="7" max="7" width="14.296875" style="4" customWidth="1"/>
    <col min="8" max="8" width="13.19921875" style="4" customWidth="1"/>
    <col min="9" max="16384" width="8.796875" style="4" customWidth="1"/>
  </cols>
  <sheetData>
    <row r="1" spans="1:8" ht="18">
      <c r="A1" s="387" t="s">
        <v>12</v>
      </c>
      <c r="B1" s="387"/>
      <c r="C1" s="387"/>
      <c r="D1" s="387"/>
      <c r="E1" s="387"/>
      <c r="F1" s="387"/>
      <c r="G1" s="387"/>
      <c r="H1" s="387"/>
    </row>
    <row r="2" spans="1:8" ht="15">
      <c r="A2" s="388" t="s">
        <v>13</v>
      </c>
      <c r="B2" s="388"/>
      <c r="C2" s="388"/>
      <c r="D2" s="388"/>
      <c r="E2" s="388"/>
      <c r="F2" s="388"/>
      <c r="G2" s="388"/>
      <c r="H2" s="388"/>
    </row>
    <row r="3" spans="1:8" ht="15.75">
      <c r="A3" s="5"/>
      <c r="B3" s="5"/>
      <c r="C3" s="5"/>
      <c r="D3" s="5"/>
      <c r="E3" s="5"/>
      <c r="F3" s="5"/>
      <c r="G3" s="5"/>
      <c r="H3" s="5"/>
    </row>
    <row r="4" spans="1:8" ht="31.5" customHeight="1">
      <c r="A4" s="389" t="str">
        <f>Koptāme!A8</f>
        <v>Būves nosaukums:     Tautas nama "Kalngravas" rekonstrukcija- 2. kārta </v>
      </c>
      <c r="B4" s="389"/>
      <c r="C4" s="389"/>
      <c r="D4" s="389"/>
      <c r="E4" s="389"/>
      <c r="F4" s="389"/>
      <c r="G4" s="389"/>
      <c r="H4" s="389"/>
    </row>
    <row r="5" spans="1:8" ht="23.25" customHeight="1">
      <c r="A5" s="389" t="str">
        <f>'1-1 (1)'!A4</f>
        <v>Objekta nosaukums:  Tautas nama "Kalngravas" rekonstrukcija</v>
      </c>
      <c r="B5" s="389"/>
      <c r="C5" s="389"/>
      <c r="D5" s="389"/>
      <c r="E5" s="389"/>
      <c r="F5" s="389"/>
      <c r="G5" s="389"/>
      <c r="H5" s="389"/>
    </row>
    <row r="6" spans="1:8" ht="20.25" customHeight="1">
      <c r="A6" s="390" t="str">
        <f>Koptāme!A9</f>
        <v>Būves adrese:             Kalngravas 1, Sarkaņu pagasts, Madonas novads</v>
      </c>
      <c r="B6" s="390"/>
      <c r="C6" s="390"/>
      <c r="D6" s="390"/>
      <c r="E6" s="390"/>
      <c r="F6" s="390"/>
      <c r="G6" s="390"/>
      <c r="H6" s="390"/>
    </row>
    <row r="7" spans="1:8" ht="36" customHeight="1">
      <c r="A7" s="391" t="s">
        <v>851</v>
      </c>
      <c r="B7" s="391"/>
      <c r="C7" s="391"/>
      <c r="D7" s="391"/>
      <c r="E7" s="391"/>
      <c r="F7" s="391"/>
      <c r="G7" s="391"/>
      <c r="H7" s="391"/>
    </row>
    <row r="8" spans="1:8" ht="25.5" customHeight="1">
      <c r="A8" s="391" t="s">
        <v>852</v>
      </c>
      <c r="B8" s="391"/>
      <c r="C8" s="386"/>
      <c r="D8" s="386"/>
      <c r="E8" s="386"/>
      <c r="F8" s="386"/>
      <c r="G8" s="386"/>
      <c r="H8" s="386"/>
    </row>
    <row r="9" spans="1:8" ht="15">
      <c r="A9" s="6"/>
      <c r="B9" s="6"/>
      <c r="C9" s="6" t="s">
        <v>14</v>
      </c>
      <c r="D9" s="7">
        <f>D35</f>
        <v>0</v>
      </c>
      <c r="E9" s="8"/>
      <c r="F9" s="8"/>
      <c r="G9" s="8"/>
      <c r="H9" s="8"/>
    </row>
    <row r="10" spans="1:8" ht="15">
      <c r="A10" s="6"/>
      <c r="B10" s="6"/>
      <c r="C10" s="6" t="s">
        <v>15</v>
      </c>
      <c r="D10" s="9">
        <f>H30</f>
        <v>0</v>
      </c>
      <c r="E10" s="8"/>
      <c r="F10" s="8"/>
      <c r="G10" s="8"/>
      <c r="H10" s="8"/>
    </row>
    <row r="11" spans="1:8" ht="15.75">
      <c r="A11" s="5"/>
      <c r="B11" s="5"/>
      <c r="C11" s="4" t="s">
        <v>861</v>
      </c>
      <c r="D11" s="5"/>
      <c r="E11" s="5"/>
      <c r="F11" s="5"/>
      <c r="G11" s="5"/>
      <c r="H11" s="5"/>
    </row>
    <row r="12" ht="15">
      <c r="H12" s="1"/>
    </row>
    <row r="14" spans="1:8" ht="15.75" customHeight="1">
      <c r="A14" s="392" t="s">
        <v>4</v>
      </c>
      <c r="B14" s="392" t="s">
        <v>16</v>
      </c>
      <c r="C14" s="392" t="s">
        <v>17</v>
      </c>
      <c r="D14" s="392" t="s">
        <v>18</v>
      </c>
      <c r="E14" s="393" t="s">
        <v>19</v>
      </c>
      <c r="F14" s="393"/>
      <c r="G14" s="393"/>
      <c r="H14" s="392" t="s">
        <v>20</v>
      </c>
    </row>
    <row r="15" spans="1:8" s="11" customFormat="1" ht="45" customHeight="1">
      <c r="A15" s="392"/>
      <c r="B15" s="392"/>
      <c r="C15" s="392"/>
      <c r="D15" s="392"/>
      <c r="E15" s="10" t="s">
        <v>21</v>
      </c>
      <c r="F15" s="10" t="s">
        <v>22</v>
      </c>
      <c r="G15" s="10" t="s">
        <v>23</v>
      </c>
      <c r="H15" s="392"/>
    </row>
    <row r="16" spans="1:8" s="37" customFormat="1" ht="39" customHeight="1">
      <c r="A16" s="33">
        <v>1</v>
      </c>
      <c r="B16" s="34" t="s">
        <v>24</v>
      </c>
      <c r="C16" s="35" t="str">
        <f>'1-1 (1)'!A2</f>
        <v>BŪVLAUKUMA IEKĀRTOŠANA, UZTURĒŠANA UN DEMONTĀŽA – 2.kārta</v>
      </c>
      <c r="D16" s="36"/>
      <c r="E16" s="36"/>
      <c r="F16" s="36"/>
      <c r="G16" s="36"/>
      <c r="H16" s="36"/>
    </row>
    <row r="17" spans="1:8" s="37" customFormat="1" ht="39" customHeight="1">
      <c r="A17" s="33">
        <v>2</v>
      </c>
      <c r="B17" s="34" t="s">
        <v>26</v>
      </c>
      <c r="C17" s="38" t="str">
        <f>'1-3 (1)'!A2</f>
        <v>PAMATI – 2. kārta</v>
      </c>
      <c r="D17" s="36"/>
      <c r="E17" s="36"/>
      <c r="F17" s="36"/>
      <c r="G17" s="36"/>
      <c r="H17" s="36"/>
    </row>
    <row r="18" spans="1:8" s="37" customFormat="1" ht="39" customHeight="1">
      <c r="A18" s="33">
        <v>3</v>
      </c>
      <c r="B18" s="34" t="s">
        <v>856</v>
      </c>
      <c r="C18" s="35" t="str">
        <f>'1_4 (4)'!A2</f>
        <v>SIENU KONSTRUKCIJAS, NESOŠĀS KONSTRUKCIJAS -2. kārta</v>
      </c>
      <c r="D18" s="36"/>
      <c r="E18" s="36"/>
      <c r="F18" s="36"/>
      <c r="G18" s="36"/>
      <c r="H18" s="36"/>
    </row>
    <row r="19" spans="1:8" s="37" customFormat="1" ht="39" customHeight="1">
      <c r="A19" s="33">
        <v>4</v>
      </c>
      <c r="B19" s="34" t="s">
        <v>25</v>
      </c>
      <c r="C19" s="35" t="str">
        <f>'1_5(2)'!A2</f>
        <v>ĀRSIENU APDARE – 2.kārta</v>
      </c>
      <c r="D19" s="36"/>
      <c r="E19" s="36"/>
      <c r="F19" s="36"/>
      <c r="G19" s="36"/>
      <c r="H19" s="36"/>
    </row>
    <row r="20" spans="1:8" s="37" customFormat="1" ht="39" customHeight="1">
      <c r="A20" s="33">
        <v>5</v>
      </c>
      <c r="B20" s="34" t="s">
        <v>857</v>
      </c>
      <c r="C20" s="35" t="str">
        <f>'1_6 (4)'!A2</f>
        <v>GRĪDAS - 2. kārta</v>
      </c>
      <c r="D20" s="36"/>
      <c r="E20" s="36"/>
      <c r="F20" s="36"/>
      <c r="G20" s="36"/>
      <c r="H20" s="36"/>
    </row>
    <row r="21" spans="1:8" s="37" customFormat="1" ht="39" customHeight="1">
      <c r="A21" s="33">
        <v>6</v>
      </c>
      <c r="B21" s="34" t="s">
        <v>858</v>
      </c>
      <c r="C21" s="35" t="str">
        <f>'1-7 (4)'!A2</f>
        <v>SIENU, GRIESTU APDARE - 2. kārta</v>
      </c>
      <c r="D21" s="36"/>
      <c r="E21" s="36"/>
      <c r="F21" s="36"/>
      <c r="G21" s="36"/>
      <c r="H21" s="36"/>
    </row>
    <row r="22" spans="1:8" s="37" customFormat="1" ht="39" customHeight="1">
      <c r="A22" s="33">
        <v>7</v>
      </c>
      <c r="B22" s="34" t="s">
        <v>859</v>
      </c>
      <c r="C22" s="35" t="str">
        <f>'1_8 (4)'!A2</f>
        <v>LOGI, DURVIS - 2. kārta</v>
      </c>
      <c r="D22" s="36"/>
      <c r="E22" s="36"/>
      <c r="F22" s="36"/>
      <c r="G22" s="36"/>
      <c r="H22" s="36"/>
    </row>
    <row r="23" spans="1:8" s="37" customFormat="1" ht="39" customHeight="1">
      <c r="A23" s="461">
        <v>8</v>
      </c>
      <c r="B23" s="34" t="s">
        <v>860</v>
      </c>
      <c r="C23" s="35" t="str">
        <f>'1_9 (4)'!A2</f>
        <v>JUMTS, JUMTA SEGUMS - 2. kārta</v>
      </c>
      <c r="D23" s="36"/>
      <c r="E23" s="36"/>
      <c r="F23" s="36"/>
      <c r="G23" s="36"/>
      <c r="H23" s="36"/>
    </row>
    <row r="24" spans="1:8" s="37" customFormat="1" ht="39" customHeight="1">
      <c r="A24" s="33">
        <v>9</v>
      </c>
      <c r="B24" s="34" t="s">
        <v>27</v>
      </c>
      <c r="C24" s="35" t="str">
        <f>'2_1 (1)'!A2</f>
        <v>VENTILĀCIJA – 2. kārta</v>
      </c>
      <c r="D24" s="36"/>
      <c r="E24" s="36"/>
      <c r="F24" s="36"/>
      <c r="G24" s="36"/>
      <c r="H24" s="36"/>
    </row>
    <row r="25" spans="1:8" s="37" customFormat="1" ht="39" customHeight="1">
      <c r="A25" s="33">
        <v>10</v>
      </c>
      <c r="B25" s="34" t="s">
        <v>28</v>
      </c>
      <c r="C25" s="35" t="str">
        <f>'2_2 (1)'!A2</f>
        <v>SILTUMMEZGLS, CENTRĀLAPKURE, VENTILĀCIJAS SILTUMAPGĀDE – 2.kārta</v>
      </c>
      <c r="D25" s="36"/>
      <c r="E25" s="36"/>
      <c r="F25" s="36"/>
      <c r="G25" s="36"/>
      <c r="H25" s="36"/>
    </row>
    <row r="26" spans="1:8" s="37" customFormat="1" ht="39" customHeight="1">
      <c r="A26" s="33">
        <v>11</v>
      </c>
      <c r="B26" s="34" t="s">
        <v>29</v>
      </c>
      <c r="C26" s="35" t="str">
        <f>'2_4 (1)'!A2</f>
        <v>K1 -KANALIZĀCIJAS IEKŠĒJIE TĪKLI – 2.kārta</v>
      </c>
      <c r="D26" s="36"/>
      <c r="E26" s="36"/>
      <c r="F26" s="36"/>
      <c r="G26" s="36"/>
      <c r="H26" s="36"/>
    </row>
    <row r="27" spans="1:8" s="37" customFormat="1" ht="39" customHeight="1">
      <c r="A27" s="33">
        <v>12</v>
      </c>
      <c r="B27" s="34" t="s">
        <v>30</v>
      </c>
      <c r="C27" s="35" t="str">
        <f>'2_5 (1)'!A2</f>
        <v> ŪKT ĀRĒJIE TĪKLI – 2.kārta</v>
      </c>
      <c r="D27" s="36"/>
      <c r="E27" s="36"/>
      <c r="F27" s="36"/>
      <c r="G27" s="36"/>
      <c r="H27" s="36"/>
    </row>
    <row r="28" spans="1:8" s="37" customFormat="1" ht="39" customHeight="1">
      <c r="A28" s="33">
        <v>13</v>
      </c>
      <c r="B28" s="34" t="s">
        <v>31</v>
      </c>
      <c r="C28" s="35" t="str">
        <f>'2_6 (1)'!A2</f>
        <v>ELEKTROIEKĀRTAS, TERITORIJAS APGAISMOJUMS – 2.kārta</v>
      </c>
      <c r="D28" s="36"/>
      <c r="E28" s="36"/>
      <c r="F28" s="36"/>
      <c r="G28" s="36"/>
      <c r="H28" s="36"/>
    </row>
    <row r="29" spans="1:8" s="37" customFormat="1" ht="39" customHeight="1">
      <c r="A29" s="33">
        <v>14</v>
      </c>
      <c r="B29" s="34" t="s">
        <v>32</v>
      </c>
      <c r="C29" s="35" t="str">
        <f>'3_1 (1)'!A2</f>
        <v>LABIEKĀRTOŠANA – 2.kārta</v>
      </c>
      <c r="D29" s="36"/>
      <c r="E29" s="36"/>
      <c r="F29" s="36"/>
      <c r="G29" s="36"/>
      <c r="H29" s="36"/>
    </row>
    <row r="30" spans="1:8" ht="30" customHeight="1">
      <c r="A30" s="396" t="s">
        <v>7</v>
      </c>
      <c r="B30" s="396"/>
      <c r="C30" s="396"/>
      <c r="D30" s="12"/>
      <c r="E30" s="12"/>
      <c r="F30" s="12"/>
      <c r="G30" s="12"/>
      <c r="H30" s="12"/>
    </row>
    <row r="31" spans="1:4" ht="30" customHeight="1">
      <c r="A31" s="396" t="s">
        <v>847</v>
      </c>
      <c r="B31" s="396"/>
      <c r="C31" s="396"/>
      <c r="D31" s="12"/>
    </row>
    <row r="32" spans="1:4" ht="30" customHeight="1">
      <c r="A32" s="397" t="s">
        <v>33</v>
      </c>
      <c r="B32" s="397"/>
      <c r="C32" s="397"/>
      <c r="D32" s="12"/>
    </row>
    <row r="33" spans="1:4" ht="30" customHeight="1">
      <c r="A33" s="396" t="s">
        <v>846</v>
      </c>
      <c r="B33" s="396"/>
      <c r="C33" s="396"/>
      <c r="D33" s="12"/>
    </row>
    <row r="34" spans="1:4" ht="30" customHeight="1">
      <c r="A34" s="396" t="s">
        <v>34</v>
      </c>
      <c r="B34" s="396"/>
      <c r="C34" s="396"/>
      <c r="D34" s="12">
        <f>E30*24.09%</f>
        <v>0</v>
      </c>
    </row>
    <row r="35" spans="1:4" ht="30" customHeight="1">
      <c r="A35" s="396" t="s">
        <v>8</v>
      </c>
      <c r="B35" s="396"/>
      <c r="C35" s="396"/>
      <c r="D35" s="12">
        <f>D30+D31+D33+D34</f>
        <v>0</v>
      </c>
    </row>
    <row r="37" spans="1:8" ht="44.25" customHeight="1">
      <c r="A37" s="2" t="s">
        <v>9</v>
      </c>
      <c r="B37" s="394"/>
      <c r="C37" s="394"/>
      <c r="D37" s="14"/>
      <c r="E37" s="3"/>
      <c r="F37" s="15"/>
      <c r="G37" s="15"/>
      <c r="H37" s="15"/>
    </row>
    <row r="38" ht="45.75" customHeight="1">
      <c r="A38" s="395" t="s">
        <v>72</v>
      </c>
    </row>
    <row r="39" spans="1:8" ht="15" customHeight="1">
      <c r="A39" s="395"/>
      <c r="B39" s="16"/>
      <c r="C39" s="17"/>
      <c r="D39" s="14"/>
      <c r="E39" s="15"/>
      <c r="F39" s="15"/>
      <c r="G39" s="15"/>
      <c r="H39" s="15"/>
    </row>
    <row r="40" spans="1:5" ht="15.75" customHeight="1">
      <c r="A40" s="18"/>
      <c r="B40" s="18"/>
      <c r="C40" s="18"/>
      <c r="D40" s="18"/>
      <c r="E40" s="18"/>
    </row>
    <row r="41" spans="1:3" ht="15">
      <c r="A41" s="2" t="s">
        <v>11</v>
      </c>
      <c r="B41" s="19"/>
      <c r="C41" s="13"/>
    </row>
  </sheetData>
  <sheetProtection selectLockedCells="1" selectUnlockedCells="1"/>
  <mergeCells count="21">
    <mergeCell ref="A8:B8"/>
    <mergeCell ref="B37:C37"/>
    <mergeCell ref="A38:A39"/>
    <mergeCell ref="A30:C30"/>
    <mergeCell ref="A31:C31"/>
    <mergeCell ref="A32:C32"/>
    <mergeCell ref="A33:C33"/>
    <mergeCell ref="A34:C34"/>
    <mergeCell ref="A35:C35"/>
    <mergeCell ref="A14:A15"/>
    <mergeCell ref="B14:B15"/>
    <mergeCell ref="C14:C15"/>
    <mergeCell ref="D14:D15"/>
    <mergeCell ref="E14:G14"/>
    <mergeCell ref="H14:H15"/>
    <mergeCell ref="A1:H1"/>
    <mergeCell ref="A2:H2"/>
    <mergeCell ref="A4:H4"/>
    <mergeCell ref="A5:H5"/>
    <mergeCell ref="A6:H6"/>
    <mergeCell ref="A7:H7"/>
  </mergeCells>
  <printOptions/>
  <pageMargins left="0.7480314960629921" right="0.7086614173228347" top="0.7874015748031497" bottom="0.8267716535433072" header="0.5118110236220472" footer="0.5118110236220472"/>
  <pageSetup fitToHeight="1" fitToWidth="1" horizontalDpi="300" verticalDpi="30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R160"/>
  <sheetViews>
    <sheetView showZeros="0" view="pageBreakPreview" zoomScale="70" zoomScaleNormal="55" zoomScaleSheetLayoutView="70" zoomScalePageLayoutView="0" workbookViewId="0" topLeftCell="A10">
      <selection activeCell="A7" sqref="A7:IV7"/>
    </sheetView>
  </sheetViews>
  <sheetFormatPr defaultColWidth="37" defaultRowHeight="15.75"/>
  <cols>
    <col min="1" max="1" width="6.69921875" style="225" customWidth="1"/>
    <col min="2" max="2" width="9.796875" style="226" customWidth="1"/>
    <col min="3" max="3" width="29.59765625" style="187" customWidth="1"/>
    <col min="4" max="4" width="6.19921875" style="227" customWidth="1"/>
    <col min="5" max="5" width="10.69921875" style="225" customWidth="1"/>
    <col min="6" max="6" width="8.59765625" style="187" customWidth="1"/>
    <col min="7" max="7" width="7.69921875" style="187" customWidth="1"/>
    <col min="8" max="8" width="8.3984375" style="228" customWidth="1"/>
    <col min="9" max="9" width="9.09765625" style="228" customWidth="1"/>
    <col min="10" max="10" width="7.796875" style="187" customWidth="1"/>
    <col min="11" max="11" width="11" style="187" customWidth="1"/>
    <col min="12" max="12" width="10.8984375" style="187" customWidth="1"/>
    <col min="13" max="13" width="11.59765625" style="187" customWidth="1"/>
    <col min="14" max="14" width="12" style="187" customWidth="1"/>
    <col min="15" max="15" width="11.796875" style="187" customWidth="1"/>
    <col min="16" max="16" width="12.3984375" style="187" customWidth="1"/>
    <col min="17" max="34" width="11.296875" style="187" customWidth="1"/>
    <col min="35" max="16384" width="37" style="187" customWidth="1"/>
  </cols>
  <sheetData>
    <row r="1" spans="1:16" ht="19.5" customHeight="1">
      <c r="A1" s="425" t="s">
        <v>452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</row>
    <row r="2" spans="1:16" ht="19.5" customHeight="1">
      <c r="A2" s="426" t="s">
        <v>453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</row>
    <row r="3" spans="1:16" ht="19.5" customHeight="1">
      <c r="A3" s="188" t="str">
        <f>'1-3 (1)'!A3</f>
        <v>Būves nosaukums:     Tautas nama "Kalngravas" rekonstrukcija- 2. kārta </v>
      </c>
      <c r="B3" s="187"/>
      <c r="C3" s="189"/>
      <c r="D3" s="190"/>
      <c r="E3" s="190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6" ht="19.5" customHeight="1">
      <c r="A4" s="188" t="str">
        <f>'1-3 (1)'!A4</f>
        <v>Objekta nosaukums:  Tautas nama "Kalngravas" rekonstrukcija</v>
      </c>
      <c r="B4" s="187"/>
      <c r="C4" s="189"/>
      <c r="D4" s="190"/>
      <c r="E4" s="190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</row>
    <row r="5" spans="1:16" ht="19.5" customHeight="1">
      <c r="A5" s="188" t="str">
        <f>'1-3 (1)'!A5</f>
        <v>Būves adrese:  Kalngravas 1, Sarkaņu pagasts, Madonas novads</v>
      </c>
      <c r="B5" s="187"/>
      <c r="C5" s="189"/>
      <c r="D5" s="190"/>
      <c r="E5" s="190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</row>
    <row r="6" spans="1:16" ht="19.5" customHeight="1">
      <c r="A6" s="188" t="str">
        <f>'1-3 (1)'!A6</f>
        <v>Pasūtījuma Nr.: </v>
      </c>
      <c r="B6" s="187"/>
      <c r="C6" s="192" t="s">
        <v>845</v>
      </c>
      <c r="D6" s="190"/>
      <c r="E6" s="190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</row>
    <row r="7" spans="1:8" s="4" customFormat="1" ht="25.5" customHeight="1">
      <c r="A7" s="391" t="s">
        <v>852</v>
      </c>
      <c r="B7" s="391"/>
      <c r="C7" s="386"/>
      <c r="D7" s="386"/>
      <c r="E7" s="386"/>
      <c r="F7" s="386"/>
      <c r="G7" s="386"/>
      <c r="H7" s="386"/>
    </row>
    <row r="8" spans="1:16" ht="19.5" customHeight="1">
      <c r="A8" s="188" t="str">
        <f>'1-3 (1)'!A8</f>
        <v>Tāme sastādīta 2013. gada tirgus cenās, pamatojoties uz GP, AR, BK daļas rasējumiem</v>
      </c>
      <c r="B8" s="187"/>
      <c r="C8" s="189"/>
      <c r="D8" s="190"/>
      <c r="E8" s="190"/>
      <c r="F8" s="191"/>
      <c r="G8" s="191"/>
      <c r="H8" s="191"/>
      <c r="I8" s="191"/>
      <c r="J8" s="191"/>
      <c r="K8" s="191"/>
      <c r="L8" s="191"/>
      <c r="M8" s="427" t="s">
        <v>47</v>
      </c>
      <c r="N8" s="427"/>
      <c r="O8" s="428">
        <f>P25</f>
        <v>0</v>
      </c>
      <c r="P8" s="428"/>
    </row>
    <row r="9" spans="1:16" ht="15" customHeight="1">
      <c r="A9" s="193"/>
      <c r="B9" s="193"/>
      <c r="C9" s="194"/>
      <c r="D9" s="195"/>
      <c r="E9" s="196"/>
      <c r="F9" s="197"/>
      <c r="G9" s="451"/>
      <c r="H9" s="451"/>
      <c r="I9" s="197"/>
      <c r="J9" s="197"/>
      <c r="K9" s="196"/>
      <c r="L9" s="280"/>
      <c r="M9" s="196"/>
      <c r="N9" s="197"/>
      <c r="O9" s="197"/>
      <c r="P9" s="197"/>
    </row>
    <row r="10" spans="1:16" ht="19.5" customHeight="1">
      <c r="A10" s="429" t="s">
        <v>4</v>
      </c>
      <c r="B10" s="429" t="s">
        <v>48</v>
      </c>
      <c r="C10" s="430" t="s">
        <v>49</v>
      </c>
      <c r="D10" s="429" t="s">
        <v>50</v>
      </c>
      <c r="E10" s="429" t="s">
        <v>51</v>
      </c>
      <c r="F10" s="431" t="s">
        <v>52</v>
      </c>
      <c r="G10" s="431"/>
      <c r="H10" s="431"/>
      <c r="I10" s="431"/>
      <c r="J10" s="431"/>
      <c r="K10" s="431"/>
      <c r="L10" s="431" t="s">
        <v>53</v>
      </c>
      <c r="M10" s="431"/>
      <c r="N10" s="431"/>
      <c r="O10" s="431"/>
      <c r="P10" s="431"/>
    </row>
    <row r="11" spans="1:16" ht="99.75" customHeight="1">
      <c r="A11" s="429"/>
      <c r="B11" s="429"/>
      <c r="C11" s="430"/>
      <c r="D11" s="429"/>
      <c r="E11" s="429"/>
      <c r="F11" s="26" t="s">
        <v>54</v>
      </c>
      <c r="G11" s="26" t="s">
        <v>55</v>
      </c>
      <c r="H11" s="26" t="s">
        <v>56</v>
      </c>
      <c r="I11" s="26" t="s">
        <v>57</v>
      </c>
      <c r="J11" s="26" t="s">
        <v>58</v>
      </c>
      <c r="K11" s="26" t="s">
        <v>59</v>
      </c>
      <c r="L11" s="26" t="s">
        <v>60</v>
      </c>
      <c r="M11" s="26" t="s">
        <v>56</v>
      </c>
      <c r="N11" s="26" t="s">
        <v>57</v>
      </c>
      <c r="O11" s="26" t="s">
        <v>58</v>
      </c>
      <c r="P11" s="26" t="s">
        <v>61</v>
      </c>
    </row>
    <row r="12" spans="1:16" s="207" customFormat="1" ht="43.5" customHeight="1">
      <c r="A12" s="282">
        <v>1</v>
      </c>
      <c r="B12" s="200" t="s">
        <v>454</v>
      </c>
      <c r="C12" s="233" t="s">
        <v>455</v>
      </c>
      <c r="D12" s="202" t="s">
        <v>447</v>
      </c>
      <c r="E12" s="203">
        <v>66</v>
      </c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</row>
    <row r="13" spans="1:16" s="207" customFormat="1" ht="43.5" customHeight="1">
      <c r="A13" s="198">
        <v>2</v>
      </c>
      <c r="B13" s="200" t="s">
        <v>456</v>
      </c>
      <c r="C13" s="233" t="s">
        <v>457</v>
      </c>
      <c r="D13" s="202" t="s">
        <v>447</v>
      </c>
      <c r="E13" s="203">
        <v>66</v>
      </c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</row>
    <row r="14" spans="1:16" s="207" customFormat="1" ht="43.5" customHeight="1">
      <c r="A14" s="198">
        <v>3</v>
      </c>
      <c r="B14" s="200" t="s">
        <v>458</v>
      </c>
      <c r="C14" s="233" t="s">
        <v>459</v>
      </c>
      <c r="D14" s="202" t="s">
        <v>447</v>
      </c>
      <c r="E14" s="203">
        <v>66</v>
      </c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</row>
    <row r="15" spans="1:16" s="207" customFormat="1" ht="43.5" customHeight="1">
      <c r="A15" s="198">
        <v>4</v>
      </c>
      <c r="B15" s="200" t="s">
        <v>460</v>
      </c>
      <c r="C15" s="233" t="s">
        <v>461</v>
      </c>
      <c r="D15" s="202" t="s">
        <v>63</v>
      </c>
      <c r="E15" s="203">
        <v>22</v>
      </c>
      <c r="F15" s="204"/>
      <c r="G15" s="205"/>
      <c r="H15" s="205"/>
      <c r="I15" s="205"/>
      <c r="J15" s="205"/>
      <c r="K15" s="205"/>
      <c r="L15" s="205"/>
      <c r="M15" s="205"/>
      <c r="N15" s="205"/>
      <c r="O15" s="205"/>
      <c r="P15" s="205"/>
    </row>
    <row r="16" spans="1:16" s="207" customFormat="1" ht="43.5" customHeight="1">
      <c r="A16" s="282">
        <v>5</v>
      </c>
      <c r="B16" s="200" t="s">
        <v>462</v>
      </c>
      <c r="C16" s="233" t="s">
        <v>463</v>
      </c>
      <c r="D16" s="202" t="s">
        <v>63</v>
      </c>
      <c r="E16" s="203">
        <v>23</v>
      </c>
      <c r="F16" s="204"/>
      <c r="G16" s="205"/>
      <c r="H16" s="205"/>
      <c r="I16" s="205"/>
      <c r="J16" s="205"/>
      <c r="K16" s="205"/>
      <c r="L16" s="205"/>
      <c r="M16" s="205"/>
      <c r="N16" s="205"/>
      <c r="O16" s="205"/>
      <c r="P16" s="205"/>
    </row>
    <row r="17" spans="1:16" s="207" customFormat="1" ht="43.5" customHeight="1">
      <c r="A17" s="198">
        <v>6</v>
      </c>
      <c r="B17" s="200" t="s">
        <v>464</v>
      </c>
      <c r="C17" s="233" t="s">
        <v>465</v>
      </c>
      <c r="D17" s="202" t="s">
        <v>63</v>
      </c>
      <c r="E17" s="203">
        <v>14</v>
      </c>
      <c r="F17" s="204"/>
      <c r="G17" s="205"/>
      <c r="H17" s="205"/>
      <c r="I17" s="205"/>
      <c r="J17" s="205"/>
      <c r="K17" s="205"/>
      <c r="L17" s="205"/>
      <c r="M17" s="205"/>
      <c r="N17" s="205"/>
      <c r="O17" s="205"/>
      <c r="P17" s="205"/>
    </row>
    <row r="18" spans="1:16" s="207" customFormat="1" ht="43.5" customHeight="1">
      <c r="A18" s="198">
        <v>7</v>
      </c>
      <c r="B18" s="200" t="s">
        <v>466</v>
      </c>
      <c r="C18" s="63" t="s">
        <v>467</v>
      </c>
      <c r="D18" s="202" t="s">
        <v>447</v>
      </c>
      <c r="E18" s="203">
        <v>7</v>
      </c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</row>
    <row r="19" spans="1:16" s="207" customFormat="1" ht="43.5" customHeight="1">
      <c r="A19" s="198">
        <v>8</v>
      </c>
      <c r="B19" s="200" t="s">
        <v>468</v>
      </c>
      <c r="C19" s="63" t="s">
        <v>469</v>
      </c>
      <c r="D19" s="202" t="s">
        <v>444</v>
      </c>
      <c r="E19" s="203">
        <v>1</v>
      </c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</row>
    <row r="20" spans="1:16" s="207" customFormat="1" ht="43.5" customHeight="1">
      <c r="A20" s="282">
        <v>9</v>
      </c>
      <c r="B20" s="200" t="s">
        <v>470</v>
      </c>
      <c r="C20" s="63" t="s">
        <v>471</v>
      </c>
      <c r="D20" s="202" t="s">
        <v>444</v>
      </c>
      <c r="E20" s="203">
        <v>1</v>
      </c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</row>
    <row r="21" spans="1:16" s="207" customFormat="1" ht="43.5" customHeight="1">
      <c r="A21" s="198">
        <v>10</v>
      </c>
      <c r="B21" s="200" t="s">
        <v>472</v>
      </c>
      <c r="C21" s="63" t="s">
        <v>473</v>
      </c>
      <c r="D21" s="202" t="s">
        <v>444</v>
      </c>
      <c r="E21" s="203">
        <v>1</v>
      </c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</row>
    <row r="22" spans="1:16" s="207" customFormat="1" ht="43.5" customHeight="1">
      <c r="A22" s="198">
        <v>11</v>
      </c>
      <c r="B22" s="200" t="s">
        <v>474</v>
      </c>
      <c r="C22" s="63" t="s">
        <v>475</v>
      </c>
      <c r="D22" s="64" t="s">
        <v>476</v>
      </c>
      <c r="E22" s="203">
        <v>1</v>
      </c>
      <c r="F22" s="67"/>
      <c r="G22" s="67"/>
      <c r="H22" s="67"/>
      <c r="I22" s="67"/>
      <c r="J22" s="67"/>
      <c r="K22" s="205"/>
      <c r="L22" s="205"/>
      <c r="M22" s="205"/>
      <c r="N22" s="205"/>
      <c r="O22" s="205"/>
      <c r="P22" s="205"/>
    </row>
    <row r="23" spans="1:18" s="207" customFormat="1" ht="30" customHeight="1">
      <c r="A23" s="209"/>
      <c r="B23" s="209"/>
      <c r="C23" s="28" t="s">
        <v>7</v>
      </c>
      <c r="D23" s="28"/>
      <c r="E23" s="28"/>
      <c r="F23" s="28"/>
      <c r="G23" s="28"/>
      <c r="H23" s="28"/>
      <c r="I23" s="28"/>
      <c r="J23" s="28"/>
      <c r="K23" s="28"/>
      <c r="L23" s="29"/>
      <c r="M23" s="29"/>
      <c r="N23" s="29"/>
      <c r="O23" s="29"/>
      <c r="P23" s="29"/>
      <c r="R23" s="210"/>
    </row>
    <row r="24" spans="1:16" s="207" customFormat="1" ht="30" customHeight="1">
      <c r="A24" s="211"/>
      <c r="B24" s="211"/>
      <c r="C24" s="418" t="s">
        <v>849</v>
      </c>
      <c r="D24" s="418"/>
      <c r="E24" s="418"/>
      <c r="F24" s="418"/>
      <c r="G24" s="418"/>
      <c r="H24" s="418"/>
      <c r="I24" s="418"/>
      <c r="J24" s="418"/>
      <c r="K24" s="418"/>
      <c r="L24" s="30"/>
      <c r="M24" s="30"/>
      <c r="N24" s="30"/>
      <c r="O24" s="30"/>
      <c r="P24" s="31"/>
    </row>
    <row r="25" spans="1:18" s="207" customFormat="1" ht="30" customHeight="1">
      <c r="A25" s="211"/>
      <c r="B25" s="211"/>
      <c r="C25" s="433" t="s">
        <v>451</v>
      </c>
      <c r="D25" s="433"/>
      <c r="E25" s="433"/>
      <c r="F25" s="433"/>
      <c r="G25" s="433"/>
      <c r="H25" s="433"/>
      <c r="I25" s="433"/>
      <c r="J25" s="433"/>
      <c r="K25" s="433"/>
      <c r="L25" s="30"/>
      <c r="M25" s="30"/>
      <c r="N25" s="30"/>
      <c r="O25" s="30"/>
      <c r="P25" s="31"/>
      <c r="R25" s="212"/>
    </row>
    <row r="26" spans="1:16" ht="12.75">
      <c r="A26" s="213"/>
      <c r="B26" s="214"/>
      <c r="C26" s="213"/>
      <c r="D26" s="215"/>
      <c r="E26" s="216"/>
      <c r="F26" s="216"/>
      <c r="G26" s="216"/>
      <c r="H26" s="187"/>
      <c r="I26" s="187"/>
      <c r="J26" s="216"/>
      <c r="K26" s="216"/>
      <c r="L26" s="216"/>
      <c r="M26" s="216"/>
      <c r="N26" s="216"/>
      <c r="O26" s="216"/>
      <c r="P26" s="216"/>
    </row>
    <row r="27" spans="1:16" ht="12.75">
      <c r="A27" s="213"/>
      <c r="B27" s="214"/>
      <c r="C27" s="213"/>
      <c r="D27" s="215"/>
      <c r="E27" s="216"/>
      <c r="F27" s="216"/>
      <c r="G27" s="216"/>
      <c r="H27" s="187"/>
      <c r="I27" s="187"/>
      <c r="J27" s="216"/>
      <c r="K27" s="216"/>
      <c r="L27" s="216"/>
      <c r="M27" s="216"/>
      <c r="N27" s="216"/>
      <c r="O27" s="216"/>
      <c r="P27" s="216"/>
    </row>
    <row r="28" spans="1:16" ht="12.75">
      <c r="A28" s="213"/>
      <c r="B28" s="214"/>
      <c r="C28" s="213"/>
      <c r="D28" s="215"/>
      <c r="E28" s="216"/>
      <c r="F28" s="216"/>
      <c r="G28" s="216"/>
      <c r="H28" s="187"/>
      <c r="I28" s="187"/>
      <c r="J28" s="216"/>
      <c r="K28" s="216"/>
      <c r="L28" s="216"/>
      <c r="M28" s="216"/>
      <c r="N28" s="216"/>
      <c r="O28" s="216"/>
      <c r="P28" s="216"/>
    </row>
    <row r="29" spans="1:16" s="207" customFormat="1" ht="20.25" customHeight="1">
      <c r="A29" s="432" t="s">
        <v>9</v>
      </c>
      <c r="B29" s="432"/>
      <c r="C29" s="218"/>
      <c r="E29" s="219">
        <f>'1-1 (1)'!E21</f>
        <v>0</v>
      </c>
      <c r="F29" s="220"/>
      <c r="G29" s="220"/>
      <c r="H29" s="221"/>
      <c r="I29" s="434" t="s">
        <v>72</v>
      </c>
      <c r="J29" s="434"/>
      <c r="K29" s="220"/>
      <c r="L29" s="220"/>
      <c r="M29" s="220"/>
      <c r="N29" s="219">
        <f>'1-1 (1)'!N21</f>
        <v>0</v>
      </c>
      <c r="O29" s="220"/>
      <c r="P29" s="220"/>
    </row>
    <row r="30" spans="1:16" s="207" customFormat="1" ht="15" customHeight="1">
      <c r="A30" s="217"/>
      <c r="B30" s="217"/>
      <c r="C30" s="435" t="s">
        <v>10</v>
      </c>
      <c r="D30" s="435"/>
      <c r="E30" s="435"/>
      <c r="F30" s="435"/>
      <c r="G30" s="435"/>
      <c r="I30" s="190"/>
      <c r="J30" s="190"/>
      <c r="K30" s="436" t="s">
        <v>10</v>
      </c>
      <c r="L30" s="436"/>
      <c r="M30" s="436"/>
      <c r="N30" s="436"/>
      <c r="O30" s="436"/>
      <c r="P30" s="436"/>
    </row>
    <row r="31" spans="1:16" s="207" customFormat="1" ht="15">
      <c r="A31" s="217"/>
      <c r="B31" s="217"/>
      <c r="C31" s="217"/>
      <c r="D31" s="222"/>
      <c r="E31" s="223"/>
      <c r="F31" s="223"/>
      <c r="G31" s="223"/>
      <c r="J31" s="223"/>
      <c r="K31" s="223"/>
      <c r="L31" s="223"/>
      <c r="M31" s="223"/>
      <c r="N31" s="223"/>
      <c r="O31" s="223"/>
      <c r="P31" s="223"/>
    </row>
    <row r="32" spans="1:16" s="207" customFormat="1" ht="21.75" customHeight="1">
      <c r="A32" s="87"/>
      <c r="B32" s="217"/>
      <c r="C32" s="87"/>
      <c r="D32" s="224"/>
      <c r="E32" s="223"/>
      <c r="F32" s="223"/>
      <c r="G32" s="223"/>
      <c r="I32" s="432" t="s">
        <v>11</v>
      </c>
      <c r="J32" s="432"/>
      <c r="K32" s="218">
        <f>'1-1 (1)'!K24</f>
        <v>0</v>
      </c>
      <c r="L32" s="223"/>
      <c r="M32" s="223"/>
      <c r="N32" s="223"/>
      <c r="O32" s="223"/>
      <c r="P32" s="223"/>
    </row>
    <row r="33" spans="1:16" ht="12.75">
      <c r="A33" s="213"/>
      <c r="B33" s="214"/>
      <c r="C33" s="213"/>
      <c r="D33" s="215"/>
      <c r="E33" s="216"/>
      <c r="F33" s="216"/>
      <c r="G33" s="216"/>
      <c r="H33" s="187"/>
      <c r="I33" s="187"/>
      <c r="J33" s="216"/>
      <c r="K33" s="216"/>
      <c r="L33" s="216"/>
      <c r="M33" s="216"/>
      <c r="N33" s="216"/>
      <c r="O33" s="216"/>
      <c r="P33" s="216"/>
    </row>
    <row r="34" spans="1:16" ht="12.75">
      <c r="A34" s="213"/>
      <c r="B34" s="214"/>
      <c r="C34" s="213"/>
      <c r="D34" s="215"/>
      <c r="E34" s="216"/>
      <c r="F34" s="216"/>
      <c r="G34" s="216"/>
      <c r="H34" s="187"/>
      <c r="I34" s="187"/>
      <c r="J34" s="216"/>
      <c r="K34" s="216"/>
      <c r="L34" s="216"/>
      <c r="M34" s="216"/>
      <c r="N34" s="216"/>
      <c r="O34" s="216"/>
      <c r="P34" s="216"/>
    </row>
    <row r="35" spans="1:16" ht="12.75">
      <c r="A35" s="213"/>
      <c r="B35" s="214"/>
      <c r="C35" s="213"/>
      <c r="D35" s="215"/>
      <c r="E35" s="216"/>
      <c r="F35" s="216"/>
      <c r="G35" s="216"/>
      <c r="H35" s="187"/>
      <c r="I35" s="187"/>
      <c r="J35" s="216"/>
      <c r="K35" s="216"/>
      <c r="L35" s="216"/>
      <c r="M35" s="216"/>
      <c r="N35" s="216"/>
      <c r="O35" s="216"/>
      <c r="P35" s="216"/>
    </row>
    <row r="36" spans="1:16" ht="12.75">
      <c r="A36" s="213"/>
      <c r="B36" s="214"/>
      <c r="C36" s="213"/>
      <c r="D36" s="215"/>
      <c r="E36" s="216"/>
      <c r="F36" s="216"/>
      <c r="G36" s="216"/>
      <c r="H36" s="187"/>
      <c r="I36" s="187"/>
      <c r="J36" s="216"/>
      <c r="K36" s="216"/>
      <c r="L36" s="216"/>
      <c r="M36" s="216"/>
      <c r="N36" s="216"/>
      <c r="O36" s="216"/>
      <c r="P36" s="216"/>
    </row>
    <row r="37" spans="1:16" ht="12.75">
      <c r="A37" s="213"/>
      <c r="B37" s="214"/>
      <c r="C37" s="213"/>
      <c r="D37" s="215"/>
      <c r="E37" s="216"/>
      <c r="F37" s="216"/>
      <c r="G37" s="216"/>
      <c r="H37" s="187"/>
      <c r="I37" s="187"/>
      <c r="J37" s="216"/>
      <c r="K37" s="216"/>
      <c r="L37" s="216"/>
      <c r="M37" s="216"/>
      <c r="N37" s="216"/>
      <c r="O37" s="216"/>
      <c r="P37" s="216"/>
    </row>
    <row r="38" spans="1:16" ht="12.75">
      <c r="A38" s="213"/>
      <c r="B38" s="214"/>
      <c r="C38" s="213"/>
      <c r="D38" s="215"/>
      <c r="E38" s="216"/>
      <c r="F38" s="216"/>
      <c r="G38" s="216"/>
      <c r="H38" s="187"/>
      <c r="I38" s="187"/>
      <c r="J38" s="216"/>
      <c r="K38" s="216"/>
      <c r="L38" s="216"/>
      <c r="M38" s="216"/>
      <c r="N38" s="216"/>
      <c r="O38" s="216"/>
      <c r="P38" s="216"/>
    </row>
    <row r="39" spans="1:16" ht="12.75">
      <c r="A39" s="213"/>
      <c r="B39" s="214"/>
      <c r="C39" s="213"/>
      <c r="D39" s="215"/>
      <c r="E39" s="216"/>
      <c r="F39" s="216"/>
      <c r="G39" s="216"/>
      <c r="H39" s="187"/>
      <c r="I39" s="187"/>
      <c r="J39" s="216"/>
      <c r="K39" s="216"/>
      <c r="L39" s="216"/>
      <c r="M39" s="216"/>
      <c r="N39" s="216"/>
      <c r="O39" s="216"/>
      <c r="P39" s="216"/>
    </row>
    <row r="40" spans="1:16" ht="12.75">
      <c r="A40" s="213"/>
      <c r="B40" s="214"/>
      <c r="C40" s="213"/>
      <c r="D40" s="215"/>
      <c r="E40" s="216"/>
      <c r="F40" s="216"/>
      <c r="G40" s="216"/>
      <c r="H40" s="187"/>
      <c r="I40" s="187"/>
      <c r="J40" s="216"/>
      <c r="K40" s="216"/>
      <c r="L40" s="216"/>
      <c r="M40" s="216"/>
      <c r="N40" s="216"/>
      <c r="O40" s="216"/>
      <c r="P40" s="216"/>
    </row>
    <row r="41" spans="1:16" ht="12.75">
      <c r="A41" s="213"/>
      <c r="B41" s="214"/>
      <c r="C41" s="213"/>
      <c r="D41" s="215"/>
      <c r="E41" s="216"/>
      <c r="F41" s="216"/>
      <c r="G41" s="216"/>
      <c r="H41" s="187"/>
      <c r="I41" s="187"/>
      <c r="J41" s="216"/>
      <c r="K41" s="216"/>
      <c r="L41" s="216"/>
      <c r="M41" s="216"/>
      <c r="N41" s="216"/>
      <c r="O41" s="216"/>
      <c r="P41" s="216"/>
    </row>
    <row r="42" spans="1:16" ht="12.75">
      <c r="A42" s="213"/>
      <c r="B42" s="214"/>
      <c r="C42" s="213"/>
      <c r="D42" s="215"/>
      <c r="E42" s="216"/>
      <c r="F42" s="216"/>
      <c r="G42" s="216"/>
      <c r="H42" s="187"/>
      <c r="I42" s="187"/>
      <c r="J42" s="216"/>
      <c r="K42" s="216"/>
      <c r="L42" s="216"/>
      <c r="M42" s="216"/>
      <c r="N42" s="216"/>
      <c r="O42" s="216"/>
      <c r="P42" s="216"/>
    </row>
    <row r="43" spans="1:16" ht="12.75">
      <c r="A43" s="213"/>
      <c r="B43" s="214"/>
      <c r="C43" s="213"/>
      <c r="D43" s="215"/>
      <c r="E43" s="216"/>
      <c r="F43" s="216"/>
      <c r="G43" s="216"/>
      <c r="H43" s="187"/>
      <c r="I43" s="187"/>
      <c r="J43" s="216"/>
      <c r="K43" s="216"/>
      <c r="L43" s="216"/>
      <c r="M43" s="216"/>
      <c r="N43" s="216"/>
      <c r="O43" s="216"/>
      <c r="P43" s="216"/>
    </row>
    <row r="44" spans="1:16" ht="12.75">
      <c r="A44" s="213"/>
      <c r="B44" s="214"/>
      <c r="C44" s="213"/>
      <c r="D44" s="215"/>
      <c r="E44" s="216"/>
      <c r="F44" s="216"/>
      <c r="G44" s="216"/>
      <c r="H44" s="187"/>
      <c r="I44" s="187"/>
      <c r="J44" s="216"/>
      <c r="K44" s="216"/>
      <c r="L44" s="216"/>
      <c r="M44" s="216"/>
      <c r="N44" s="216"/>
      <c r="O44" s="216"/>
      <c r="P44" s="216"/>
    </row>
    <row r="45" spans="1:16" ht="12.75">
      <c r="A45" s="213"/>
      <c r="B45" s="214"/>
      <c r="C45" s="213"/>
      <c r="D45" s="215"/>
      <c r="E45" s="216"/>
      <c r="F45" s="216"/>
      <c r="G45" s="216"/>
      <c r="H45" s="187"/>
      <c r="I45" s="187"/>
      <c r="J45" s="216"/>
      <c r="K45" s="216"/>
      <c r="L45" s="216"/>
      <c r="M45" s="216"/>
      <c r="N45" s="216"/>
      <c r="O45" s="216"/>
      <c r="P45" s="216"/>
    </row>
    <row r="46" spans="1:16" ht="12.75">
      <c r="A46" s="213"/>
      <c r="B46" s="214"/>
      <c r="C46" s="213"/>
      <c r="D46" s="215"/>
      <c r="E46" s="216"/>
      <c r="F46" s="216"/>
      <c r="G46" s="216"/>
      <c r="H46" s="187"/>
      <c r="I46" s="187"/>
      <c r="J46" s="216"/>
      <c r="K46" s="216"/>
      <c r="L46" s="216"/>
      <c r="M46" s="216"/>
      <c r="N46" s="216"/>
      <c r="O46" s="216"/>
      <c r="P46" s="216"/>
    </row>
    <row r="47" spans="1:16" ht="12.75">
      <c r="A47" s="213"/>
      <c r="B47" s="214"/>
      <c r="C47" s="213"/>
      <c r="D47" s="215"/>
      <c r="E47" s="216"/>
      <c r="F47" s="216"/>
      <c r="G47" s="216"/>
      <c r="H47" s="187"/>
      <c r="I47" s="187"/>
      <c r="J47" s="216"/>
      <c r="K47" s="216"/>
      <c r="L47" s="216"/>
      <c r="M47" s="216"/>
      <c r="N47" s="216"/>
      <c r="O47" s="216"/>
      <c r="P47" s="216"/>
    </row>
    <row r="48" spans="1:16" ht="12.75">
      <c r="A48" s="213"/>
      <c r="B48" s="214"/>
      <c r="C48" s="213"/>
      <c r="D48" s="215"/>
      <c r="E48" s="216"/>
      <c r="F48" s="216"/>
      <c r="G48" s="216"/>
      <c r="H48" s="187"/>
      <c r="I48" s="187"/>
      <c r="J48" s="216"/>
      <c r="K48" s="216"/>
      <c r="L48" s="216"/>
      <c r="M48" s="216"/>
      <c r="N48" s="216"/>
      <c r="O48" s="216"/>
      <c r="P48" s="216"/>
    </row>
    <row r="49" spans="1:16" ht="12.75">
      <c r="A49" s="213"/>
      <c r="B49" s="214"/>
      <c r="C49" s="213"/>
      <c r="D49" s="215"/>
      <c r="E49" s="216"/>
      <c r="F49" s="216"/>
      <c r="G49" s="216"/>
      <c r="H49" s="187"/>
      <c r="I49" s="187"/>
      <c r="J49" s="216"/>
      <c r="K49" s="216"/>
      <c r="L49" s="216"/>
      <c r="M49" s="216"/>
      <c r="N49" s="216"/>
      <c r="O49" s="216"/>
      <c r="P49" s="216"/>
    </row>
    <row r="50" spans="1:16" ht="12.75">
      <c r="A50" s="213"/>
      <c r="B50" s="214"/>
      <c r="C50" s="213"/>
      <c r="D50" s="215"/>
      <c r="E50" s="216"/>
      <c r="F50" s="216"/>
      <c r="G50" s="216"/>
      <c r="H50" s="187"/>
      <c r="I50" s="187"/>
      <c r="J50" s="216"/>
      <c r="K50" s="216"/>
      <c r="L50" s="216"/>
      <c r="M50" s="216"/>
      <c r="N50" s="216"/>
      <c r="O50" s="216"/>
      <c r="P50" s="216"/>
    </row>
    <row r="51" spans="1:16" ht="12.75">
      <c r="A51" s="213"/>
      <c r="B51" s="214"/>
      <c r="C51" s="213"/>
      <c r="D51" s="215"/>
      <c r="E51" s="216"/>
      <c r="F51" s="216"/>
      <c r="G51" s="216"/>
      <c r="H51" s="187"/>
      <c r="I51" s="187"/>
      <c r="J51" s="216"/>
      <c r="K51" s="216"/>
      <c r="L51" s="216"/>
      <c r="M51" s="216"/>
      <c r="N51" s="216"/>
      <c r="O51" s="216"/>
      <c r="P51" s="216"/>
    </row>
    <row r="52" spans="1:16" ht="12.75">
      <c r="A52" s="213"/>
      <c r="B52" s="214"/>
      <c r="C52" s="213"/>
      <c r="D52" s="215"/>
      <c r="E52" s="216"/>
      <c r="F52" s="216"/>
      <c r="G52" s="216"/>
      <c r="H52" s="187"/>
      <c r="I52" s="187"/>
      <c r="J52" s="216"/>
      <c r="K52" s="216"/>
      <c r="L52" s="216"/>
      <c r="M52" s="216"/>
      <c r="N52" s="216"/>
      <c r="O52" s="216"/>
      <c r="P52" s="216"/>
    </row>
    <row r="53" spans="1:16" ht="12.75">
      <c r="A53" s="213"/>
      <c r="B53" s="214"/>
      <c r="C53" s="213"/>
      <c r="D53" s="215"/>
      <c r="E53" s="216"/>
      <c r="F53" s="216"/>
      <c r="G53" s="216"/>
      <c r="H53" s="187"/>
      <c r="I53" s="187"/>
      <c r="J53" s="216"/>
      <c r="K53" s="216"/>
      <c r="L53" s="216"/>
      <c r="M53" s="216"/>
      <c r="N53" s="216"/>
      <c r="O53" s="216"/>
      <c r="P53" s="216"/>
    </row>
    <row r="54" spans="1:16" ht="12.75">
      <c r="A54" s="213"/>
      <c r="B54" s="214"/>
      <c r="C54" s="213"/>
      <c r="D54" s="215"/>
      <c r="E54" s="216"/>
      <c r="F54" s="216"/>
      <c r="G54" s="216"/>
      <c r="H54" s="187"/>
      <c r="I54" s="187"/>
      <c r="J54" s="216"/>
      <c r="K54" s="216"/>
      <c r="L54" s="216"/>
      <c r="M54" s="216"/>
      <c r="N54" s="216"/>
      <c r="O54" s="216"/>
      <c r="P54" s="216"/>
    </row>
    <row r="55" spans="1:16" ht="12.75">
      <c r="A55" s="213"/>
      <c r="B55" s="214"/>
      <c r="C55" s="213"/>
      <c r="D55" s="215"/>
      <c r="E55" s="216"/>
      <c r="F55" s="216"/>
      <c r="G55" s="216"/>
      <c r="H55" s="187"/>
      <c r="I55" s="187"/>
      <c r="J55" s="216"/>
      <c r="K55" s="216"/>
      <c r="L55" s="216"/>
      <c r="M55" s="216"/>
      <c r="N55" s="216"/>
      <c r="O55" s="216"/>
      <c r="P55" s="216"/>
    </row>
    <row r="56" spans="1:16" ht="12.75">
      <c r="A56" s="213"/>
      <c r="B56" s="214"/>
      <c r="C56" s="213"/>
      <c r="D56" s="215"/>
      <c r="E56" s="216"/>
      <c r="F56" s="216"/>
      <c r="G56" s="216"/>
      <c r="H56" s="187"/>
      <c r="I56" s="187"/>
      <c r="J56" s="216"/>
      <c r="K56" s="216"/>
      <c r="L56" s="216"/>
      <c r="M56" s="216"/>
      <c r="N56" s="216"/>
      <c r="O56" s="216"/>
      <c r="P56" s="216"/>
    </row>
    <row r="57" spans="1:16" ht="12.75">
      <c r="A57" s="213"/>
      <c r="B57" s="214"/>
      <c r="C57" s="213"/>
      <c r="D57" s="215"/>
      <c r="E57" s="216"/>
      <c r="F57" s="216"/>
      <c r="G57" s="216"/>
      <c r="H57" s="187"/>
      <c r="I57" s="187"/>
      <c r="J57" s="216"/>
      <c r="K57" s="216"/>
      <c r="L57" s="216"/>
      <c r="M57" s="216"/>
      <c r="N57" s="216"/>
      <c r="O57" s="216"/>
      <c r="P57" s="216"/>
    </row>
    <row r="58" spans="1:16" ht="12.75">
      <c r="A58" s="213"/>
      <c r="B58" s="214"/>
      <c r="C58" s="213"/>
      <c r="D58" s="215"/>
      <c r="E58" s="216"/>
      <c r="F58" s="216"/>
      <c r="G58" s="216"/>
      <c r="H58" s="187"/>
      <c r="I58" s="187"/>
      <c r="J58" s="216"/>
      <c r="K58" s="216"/>
      <c r="L58" s="216"/>
      <c r="M58" s="216"/>
      <c r="N58" s="216"/>
      <c r="O58" s="216"/>
      <c r="P58" s="216"/>
    </row>
    <row r="59" spans="1:16" ht="12.75">
      <c r="A59" s="213"/>
      <c r="B59" s="214"/>
      <c r="C59" s="213"/>
      <c r="D59" s="215"/>
      <c r="E59" s="216"/>
      <c r="F59" s="216"/>
      <c r="G59" s="216"/>
      <c r="H59" s="187"/>
      <c r="I59" s="187"/>
      <c r="J59" s="216"/>
      <c r="K59" s="216"/>
      <c r="L59" s="216"/>
      <c r="M59" s="216"/>
      <c r="N59" s="216"/>
      <c r="O59" s="216"/>
      <c r="P59" s="216"/>
    </row>
    <row r="60" spans="1:16" ht="12.75">
      <c r="A60" s="213"/>
      <c r="B60" s="214"/>
      <c r="C60" s="213"/>
      <c r="D60" s="215"/>
      <c r="E60" s="216"/>
      <c r="F60" s="216"/>
      <c r="G60" s="216"/>
      <c r="H60" s="187"/>
      <c r="I60" s="187"/>
      <c r="J60" s="216"/>
      <c r="K60" s="216"/>
      <c r="L60" s="216"/>
      <c r="M60" s="216"/>
      <c r="N60" s="216"/>
      <c r="O60" s="216"/>
      <c r="P60" s="216"/>
    </row>
    <row r="61" spans="1:16" ht="12.75">
      <c r="A61" s="213"/>
      <c r="B61" s="214"/>
      <c r="C61" s="213"/>
      <c r="D61" s="215"/>
      <c r="E61" s="216"/>
      <c r="F61" s="216"/>
      <c r="G61" s="216"/>
      <c r="H61" s="187"/>
      <c r="I61" s="187"/>
      <c r="J61" s="216"/>
      <c r="K61" s="216"/>
      <c r="L61" s="216"/>
      <c r="M61" s="216"/>
      <c r="N61" s="216"/>
      <c r="O61" s="216"/>
      <c r="P61" s="216"/>
    </row>
    <row r="62" spans="1:16" ht="12.75">
      <c r="A62" s="213"/>
      <c r="B62" s="214"/>
      <c r="C62" s="213"/>
      <c r="D62" s="215"/>
      <c r="E62" s="216"/>
      <c r="F62" s="216"/>
      <c r="G62" s="216"/>
      <c r="H62" s="187"/>
      <c r="I62" s="187"/>
      <c r="J62" s="216"/>
      <c r="K62" s="216"/>
      <c r="L62" s="216"/>
      <c r="M62" s="216"/>
      <c r="N62" s="216"/>
      <c r="O62" s="216"/>
      <c r="P62" s="216"/>
    </row>
    <row r="63" spans="1:16" ht="12.75">
      <c r="A63" s="213"/>
      <c r="B63" s="214"/>
      <c r="C63" s="213"/>
      <c r="D63" s="215"/>
      <c r="E63" s="216"/>
      <c r="F63" s="216"/>
      <c r="G63" s="216"/>
      <c r="H63" s="187"/>
      <c r="I63" s="187"/>
      <c r="J63" s="216"/>
      <c r="K63" s="216"/>
      <c r="L63" s="216"/>
      <c r="M63" s="216"/>
      <c r="N63" s="216"/>
      <c r="O63" s="216"/>
      <c r="P63" s="216"/>
    </row>
    <row r="64" spans="1:16" ht="12.75">
      <c r="A64" s="213"/>
      <c r="B64" s="214"/>
      <c r="C64" s="213"/>
      <c r="D64" s="215"/>
      <c r="E64" s="216"/>
      <c r="F64" s="216"/>
      <c r="G64" s="216"/>
      <c r="H64" s="187"/>
      <c r="I64" s="187"/>
      <c r="J64" s="216"/>
      <c r="K64" s="216"/>
      <c r="L64" s="216"/>
      <c r="M64" s="216"/>
      <c r="N64" s="216"/>
      <c r="O64" s="216"/>
      <c r="P64" s="216"/>
    </row>
    <row r="65" spans="1:16" ht="12.75">
      <c r="A65" s="213"/>
      <c r="B65" s="214"/>
      <c r="C65" s="213"/>
      <c r="D65" s="215"/>
      <c r="E65" s="216"/>
      <c r="F65" s="216"/>
      <c r="G65" s="216"/>
      <c r="H65" s="187"/>
      <c r="I65" s="187"/>
      <c r="J65" s="216"/>
      <c r="K65" s="216"/>
      <c r="L65" s="216"/>
      <c r="M65" s="216"/>
      <c r="N65" s="216"/>
      <c r="O65" s="216"/>
      <c r="P65" s="216"/>
    </row>
    <row r="66" spans="1:16" ht="12.75">
      <c r="A66" s="213"/>
      <c r="B66" s="214"/>
      <c r="C66" s="213"/>
      <c r="D66" s="215"/>
      <c r="E66" s="216"/>
      <c r="F66" s="216"/>
      <c r="G66" s="216"/>
      <c r="H66" s="187"/>
      <c r="I66" s="187"/>
      <c r="J66" s="216"/>
      <c r="K66" s="216"/>
      <c r="L66" s="216"/>
      <c r="M66" s="216"/>
      <c r="N66" s="216"/>
      <c r="O66" s="216"/>
      <c r="P66" s="216"/>
    </row>
    <row r="67" spans="1:16" ht="12.75">
      <c r="A67" s="213"/>
      <c r="B67" s="214"/>
      <c r="C67" s="213"/>
      <c r="D67" s="215"/>
      <c r="E67" s="216"/>
      <c r="F67" s="216"/>
      <c r="G67" s="216"/>
      <c r="H67" s="187"/>
      <c r="I67" s="187"/>
      <c r="J67" s="216"/>
      <c r="K67" s="216"/>
      <c r="L67" s="216"/>
      <c r="M67" s="216"/>
      <c r="N67" s="216"/>
      <c r="O67" s="216"/>
      <c r="P67" s="216"/>
    </row>
    <row r="68" spans="1:16" ht="12.75">
      <c r="A68" s="213"/>
      <c r="B68" s="214"/>
      <c r="C68" s="213"/>
      <c r="D68" s="215"/>
      <c r="E68" s="216"/>
      <c r="F68" s="216"/>
      <c r="G68" s="216"/>
      <c r="H68" s="187"/>
      <c r="I68" s="187"/>
      <c r="J68" s="216"/>
      <c r="K68" s="216"/>
      <c r="L68" s="216"/>
      <c r="M68" s="216"/>
      <c r="N68" s="216"/>
      <c r="O68" s="216"/>
      <c r="P68" s="216"/>
    </row>
    <row r="69" spans="1:16" ht="12.75">
      <c r="A69" s="213"/>
      <c r="B69" s="214"/>
      <c r="C69" s="213"/>
      <c r="D69" s="215"/>
      <c r="E69" s="216"/>
      <c r="F69" s="216"/>
      <c r="G69" s="216"/>
      <c r="H69" s="187"/>
      <c r="I69" s="187"/>
      <c r="J69" s="216"/>
      <c r="K69" s="216"/>
      <c r="L69" s="216"/>
      <c r="M69" s="216"/>
      <c r="N69" s="216"/>
      <c r="O69" s="216"/>
      <c r="P69" s="216"/>
    </row>
    <row r="70" spans="1:16" ht="12.75">
      <c r="A70" s="213"/>
      <c r="B70" s="214"/>
      <c r="C70" s="213"/>
      <c r="D70" s="215"/>
      <c r="E70" s="216"/>
      <c r="F70" s="216"/>
      <c r="G70" s="216"/>
      <c r="H70" s="187"/>
      <c r="I70" s="187"/>
      <c r="J70" s="216"/>
      <c r="K70" s="216"/>
      <c r="L70" s="216"/>
      <c r="M70" s="216"/>
      <c r="N70" s="216"/>
      <c r="O70" s="216"/>
      <c r="P70" s="216"/>
    </row>
    <row r="71" spans="1:16" ht="12.75">
      <c r="A71" s="213"/>
      <c r="B71" s="214"/>
      <c r="C71" s="213"/>
      <c r="D71" s="215"/>
      <c r="E71" s="216"/>
      <c r="F71" s="216"/>
      <c r="G71" s="216"/>
      <c r="H71" s="187"/>
      <c r="I71" s="187"/>
      <c r="J71" s="216"/>
      <c r="K71" s="216"/>
      <c r="L71" s="216"/>
      <c r="M71" s="216"/>
      <c r="N71" s="216"/>
      <c r="O71" s="216"/>
      <c r="P71" s="216"/>
    </row>
    <row r="72" spans="1:16" ht="12.75">
      <c r="A72" s="213"/>
      <c r="B72" s="214"/>
      <c r="C72" s="213"/>
      <c r="D72" s="215"/>
      <c r="E72" s="216"/>
      <c r="F72" s="216"/>
      <c r="G72" s="216"/>
      <c r="H72" s="187"/>
      <c r="I72" s="187"/>
      <c r="J72" s="216"/>
      <c r="K72" s="216"/>
      <c r="L72" s="216"/>
      <c r="M72" s="216"/>
      <c r="N72" s="216"/>
      <c r="O72" s="216"/>
      <c r="P72" s="216"/>
    </row>
    <row r="73" spans="1:16" ht="12.75">
      <c r="A73" s="213"/>
      <c r="B73" s="214"/>
      <c r="C73" s="213"/>
      <c r="D73" s="215"/>
      <c r="E73" s="216"/>
      <c r="F73" s="216"/>
      <c r="G73" s="216"/>
      <c r="H73" s="187"/>
      <c r="I73" s="187"/>
      <c r="J73" s="216"/>
      <c r="K73" s="216"/>
      <c r="L73" s="216"/>
      <c r="M73" s="216"/>
      <c r="N73" s="216"/>
      <c r="O73" s="216"/>
      <c r="P73" s="216"/>
    </row>
    <row r="74" spans="1:16" ht="12.75">
      <c r="A74" s="213"/>
      <c r="B74" s="214"/>
      <c r="C74" s="213"/>
      <c r="D74" s="215"/>
      <c r="E74" s="216"/>
      <c r="F74" s="216"/>
      <c r="G74" s="216"/>
      <c r="H74" s="187"/>
      <c r="I74" s="187"/>
      <c r="J74" s="216"/>
      <c r="K74" s="216"/>
      <c r="L74" s="216"/>
      <c r="M74" s="216"/>
      <c r="N74" s="216"/>
      <c r="O74" s="216"/>
      <c r="P74" s="216"/>
    </row>
    <row r="75" spans="1:16" ht="12.75">
      <c r="A75" s="213"/>
      <c r="B75" s="214"/>
      <c r="C75" s="213"/>
      <c r="D75" s="215"/>
      <c r="E75" s="216"/>
      <c r="F75" s="216"/>
      <c r="G75" s="216"/>
      <c r="H75" s="187"/>
      <c r="I75" s="187"/>
      <c r="J75" s="216"/>
      <c r="K75" s="216"/>
      <c r="L75" s="216"/>
      <c r="M75" s="216"/>
      <c r="N75" s="216"/>
      <c r="O75" s="216"/>
      <c r="P75" s="216"/>
    </row>
    <row r="76" spans="1:16" ht="12.75">
      <c r="A76" s="213"/>
      <c r="B76" s="214"/>
      <c r="C76" s="213"/>
      <c r="D76" s="215"/>
      <c r="E76" s="216"/>
      <c r="F76" s="216"/>
      <c r="G76" s="216"/>
      <c r="H76" s="187"/>
      <c r="I76" s="187"/>
      <c r="J76" s="216"/>
      <c r="K76" s="216"/>
      <c r="L76" s="216"/>
      <c r="M76" s="216"/>
      <c r="N76" s="216"/>
      <c r="O76" s="216"/>
      <c r="P76" s="216"/>
    </row>
    <row r="77" spans="1:16" ht="12.75">
      <c r="A77" s="213"/>
      <c r="B77" s="214"/>
      <c r="C77" s="213"/>
      <c r="D77" s="215"/>
      <c r="E77" s="216"/>
      <c r="F77" s="216"/>
      <c r="G77" s="216"/>
      <c r="H77" s="187"/>
      <c r="I77" s="187"/>
      <c r="J77" s="216"/>
      <c r="K77" s="216"/>
      <c r="L77" s="216"/>
      <c r="M77" s="216"/>
      <c r="N77" s="216"/>
      <c r="O77" s="216"/>
      <c r="P77" s="216"/>
    </row>
    <row r="78" spans="1:16" ht="12.75">
      <c r="A78" s="213"/>
      <c r="B78" s="214"/>
      <c r="C78" s="213"/>
      <c r="D78" s="215"/>
      <c r="E78" s="216"/>
      <c r="F78" s="216"/>
      <c r="G78" s="216"/>
      <c r="H78" s="187"/>
      <c r="I78" s="187"/>
      <c r="J78" s="216"/>
      <c r="K78" s="216"/>
      <c r="L78" s="216"/>
      <c r="M78" s="216"/>
      <c r="N78" s="216"/>
      <c r="O78" s="216"/>
      <c r="P78" s="216"/>
    </row>
    <row r="79" spans="1:16" ht="12.75">
      <c r="A79" s="213"/>
      <c r="B79" s="214"/>
      <c r="C79" s="213"/>
      <c r="D79" s="215"/>
      <c r="E79" s="216"/>
      <c r="F79" s="216"/>
      <c r="G79" s="216"/>
      <c r="H79" s="187"/>
      <c r="I79" s="187"/>
      <c r="J79" s="216"/>
      <c r="K79" s="216"/>
      <c r="L79" s="216"/>
      <c r="M79" s="216"/>
      <c r="N79" s="216"/>
      <c r="O79" s="216"/>
      <c r="P79" s="216"/>
    </row>
    <row r="80" spans="1:16" ht="12.75">
      <c r="A80" s="213"/>
      <c r="B80" s="214"/>
      <c r="C80" s="213"/>
      <c r="D80" s="215"/>
      <c r="E80" s="216"/>
      <c r="F80" s="216"/>
      <c r="G80" s="216"/>
      <c r="H80" s="187"/>
      <c r="I80" s="187"/>
      <c r="J80" s="216"/>
      <c r="K80" s="216"/>
      <c r="L80" s="216"/>
      <c r="M80" s="216"/>
      <c r="N80" s="216"/>
      <c r="O80" s="216"/>
      <c r="P80" s="216"/>
    </row>
    <row r="81" spans="1:16" ht="12.75">
      <c r="A81" s="213"/>
      <c r="B81" s="214"/>
      <c r="C81" s="213"/>
      <c r="D81" s="215"/>
      <c r="E81" s="216"/>
      <c r="F81" s="216"/>
      <c r="G81" s="216"/>
      <c r="H81" s="187"/>
      <c r="I81" s="187"/>
      <c r="J81" s="216"/>
      <c r="K81" s="216"/>
      <c r="L81" s="216"/>
      <c r="M81" s="216"/>
      <c r="N81" s="216"/>
      <c r="O81" s="216"/>
      <c r="P81" s="216"/>
    </row>
    <row r="82" spans="1:16" ht="12.75">
      <c r="A82" s="213"/>
      <c r="B82" s="214"/>
      <c r="C82" s="213"/>
      <c r="D82" s="215"/>
      <c r="E82" s="216"/>
      <c r="F82" s="216"/>
      <c r="G82" s="216"/>
      <c r="H82" s="187"/>
      <c r="I82" s="187"/>
      <c r="J82" s="216"/>
      <c r="K82" s="216"/>
      <c r="L82" s="216"/>
      <c r="M82" s="216"/>
      <c r="N82" s="216"/>
      <c r="O82" s="216"/>
      <c r="P82" s="216"/>
    </row>
    <row r="83" spans="1:16" ht="12.75">
      <c r="A83" s="213"/>
      <c r="B83" s="214"/>
      <c r="C83" s="213"/>
      <c r="D83" s="215"/>
      <c r="E83" s="216"/>
      <c r="F83" s="216"/>
      <c r="G83" s="216"/>
      <c r="H83" s="187"/>
      <c r="I83" s="187"/>
      <c r="J83" s="216"/>
      <c r="K83" s="216"/>
      <c r="L83" s="216"/>
      <c r="M83" s="216"/>
      <c r="N83" s="216"/>
      <c r="O83" s="216"/>
      <c r="P83" s="216"/>
    </row>
    <row r="84" spans="1:16" ht="12.75">
      <c r="A84" s="213"/>
      <c r="B84" s="214"/>
      <c r="C84" s="213"/>
      <c r="D84" s="215"/>
      <c r="E84" s="216"/>
      <c r="F84" s="216"/>
      <c r="G84" s="216"/>
      <c r="H84" s="187"/>
      <c r="I84" s="187"/>
      <c r="J84" s="216"/>
      <c r="K84" s="216"/>
      <c r="L84" s="216"/>
      <c r="M84" s="216"/>
      <c r="N84" s="216"/>
      <c r="O84" s="216"/>
      <c r="P84" s="216"/>
    </row>
    <row r="85" spans="1:16" ht="12.75">
      <c r="A85" s="213"/>
      <c r="B85" s="214"/>
      <c r="C85" s="213"/>
      <c r="D85" s="215"/>
      <c r="E85" s="216"/>
      <c r="F85" s="216"/>
      <c r="G85" s="216"/>
      <c r="H85" s="187"/>
      <c r="I85" s="187"/>
      <c r="J85" s="216"/>
      <c r="K85" s="216"/>
      <c r="L85" s="216"/>
      <c r="M85" s="216"/>
      <c r="N85" s="216"/>
      <c r="O85" s="216"/>
      <c r="P85" s="216"/>
    </row>
    <row r="86" spans="1:16" ht="12.75">
      <c r="A86" s="213"/>
      <c r="B86" s="214"/>
      <c r="C86" s="213"/>
      <c r="D86" s="215"/>
      <c r="E86" s="216"/>
      <c r="F86" s="216"/>
      <c r="G86" s="216"/>
      <c r="H86" s="187"/>
      <c r="I86" s="187"/>
      <c r="J86" s="216"/>
      <c r="K86" s="216"/>
      <c r="L86" s="216"/>
      <c r="M86" s="216"/>
      <c r="N86" s="216"/>
      <c r="O86" s="216"/>
      <c r="P86" s="216"/>
    </row>
    <row r="87" spans="1:16" ht="12.75">
      <c r="A87" s="213"/>
      <c r="B87" s="214"/>
      <c r="C87" s="213"/>
      <c r="D87" s="215"/>
      <c r="E87" s="216"/>
      <c r="F87" s="216"/>
      <c r="G87" s="216"/>
      <c r="H87" s="187"/>
      <c r="I87" s="187"/>
      <c r="J87" s="216"/>
      <c r="K87" s="216"/>
      <c r="L87" s="216"/>
      <c r="M87" s="216"/>
      <c r="N87" s="216"/>
      <c r="O87" s="216"/>
      <c r="P87" s="216"/>
    </row>
    <row r="88" spans="1:16" ht="12.75">
      <c r="A88" s="213"/>
      <c r="B88" s="214"/>
      <c r="C88" s="213"/>
      <c r="D88" s="215"/>
      <c r="E88" s="216"/>
      <c r="F88" s="216"/>
      <c r="G88" s="216"/>
      <c r="H88" s="187"/>
      <c r="I88" s="187"/>
      <c r="J88" s="216"/>
      <c r="K88" s="216"/>
      <c r="L88" s="216"/>
      <c r="M88" s="216"/>
      <c r="N88" s="216"/>
      <c r="O88" s="216"/>
      <c r="P88" s="216"/>
    </row>
    <row r="89" spans="1:16" ht="12.75">
      <c r="A89" s="213"/>
      <c r="B89" s="214"/>
      <c r="C89" s="213"/>
      <c r="D89" s="215"/>
      <c r="E89" s="216"/>
      <c r="F89" s="216"/>
      <c r="G89" s="216"/>
      <c r="H89" s="187"/>
      <c r="I89" s="187"/>
      <c r="J89" s="216"/>
      <c r="K89" s="216"/>
      <c r="L89" s="216"/>
      <c r="M89" s="216"/>
      <c r="N89" s="216"/>
      <c r="O89" s="216"/>
      <c r="P89" s="216"/>
    </row>
    <row r="90" spans="1:16" ht="12.75">
      <c r="A90" s="213"/>
      <c r="B90" s="214"/>
      <c r="C90" s="213"/>
      <c r="D90" s="215"/>
      <c r="E90" s="216"/>
      <c r="F90" s="216"/>
      <c r="G90" s="216"/>
      <c r="H90" s="187"/>
      <c r="I90" s="187"/>
      <c r="J90" s="216"/>
      <c r="K90" s="216"/>
      <c r="L90" s="216"/>
      <c r="M90" s="216"/>
      <c r="N90" s="216"/>
      <c r="O90" s="216"/>
      <c r="P90" s="216"/>
    </row>
    <row r="91" spans="1:16" ht="12.75">
      <c r="A91" s="213"/>
      <c r="B91" s="214"/>
      <c r="C91" s="213"/>
      <c r="D91" s="215"/>
      <c r="E91" s="216"/>
      <c r="F91" s="216"/>
      <c r="G91" s="216"/>
      <c r="H91" s="187"/>
      <c r="I91" s="187"/>
      <c r="J91" s="216"/>
      <c r="K91" s="216"/>
      <c r="L91" s="216"/>
      <c r="M91" s="216"/>
      <c r="N91" s="216"/>
      <c r="O91" s="216"/>
      <c r="P91" s="216"/>
    </row>
    <row r="92" spans="1:16" ht="12.75">
      <c r="A92" s="213"/>
      <c r="B92" s="214"/>
      <c r="C92" s="213"/>
      <c r="D92" s="215"/>
      <c r="E92" s="216"/>
      <c r="F92" s="216"/>
      <c r="G92" s="216"/>
      <c r="H92" s="187"/>
      <c r="I92" s="187"/>
      <c r="J92" s="216"/>
      <c r="K92" s="216"/>
      <c r="L92" s="216"/>
      <c r="M92" s="216"/>
      <c r="N92" s="216"/>
      <c r="O92" s="216"/>
      <c r="P92" s="216"/>
    </row>
    <row r="93" spans="1:16" ht="12.75">
      <c r="A93" s="213"/>
      <c r="B93" s="214"/>
      <c r="C93" s="213"/>
      <c r="D93" s="215"/>
      <c r="E93" s="216"/>
      <c r="F93" s="216"/>
      <c r="G93" s="216"/>
      <c r="H93" s="187"/>
      <c r="I93" s="187"/>
      <c r="J93" s="216"/>
      <c r="K93" s="216"/>
      <c r="L93" s="216"/>
      <c r="M93" s="216"/>
      <c r="N93" s="216"/>
      <c r="O93" s="216"/>
      <c r="P93" s="216"/>
    </row>
    <row r="94" spans="1:16" ht="12.75">
      <c r="A94" s="213"/>
      <c r="B94" s="214"/>
      <c r="C94" s="213"/>
      <c r="D94" s="215"/>
      <c r="E94" s="216"/>
      <c r="F94" s="216"/>
      <c r="G94" s="216"/>
      <c r="H94" s="187"/>
      <c r="I94" s="187"/>
      <c r="J94" s="216"/>
      <c r="K94" s="216"/>
      <c r="L94" s="216"/>
      <c r="M94" s="216"/>
      <c r="N94" s="216"/>
      <c r="O94" s="216"/>
      <c r="P94" s="216"/>
    </row>
    <row r="95" spans="1:16" ht="12.75">
      <c r="A95" s="213"/>
      <c r="B95" s="214"/>
      <c r="C95" s="213"/>
      <c r="D95" s="215"/>
      <c r="E95" s="216"/>
      <c r="F95" s="216"/>
      <c r="G95" s="216"/>
      <c r="H95" s="187"/>
      <c r="I95" s="187"/>
      <c r="J95" s="216"/>
      <c r="K95" s="216"/>
      <c r="L95" s="216"/>
      <c r="M95" s="216"/>
      <c r="N95" s="216"/>
      <c r="O95" s="216"/>
      <c r="P95" s="216"/>
    </row>
    <row r="96" spans="1:16" ht="12.75">
      <c r="A96" s="213"/>
      <c r="B96" s="214"/>
      <c r="C96" s="213"/>
      <c r="D96" s="215"/>
      <c r="E96" s="216"/>
      <c r="F96" s="216"/>
      <c r="G96" s="216"/>
      <c r="H96" s="187"/>
      <c r="I96" s="187"/>
      <c r="J96" s="216"/>
      <c r="K96" s="216"/>
      <c r="L96" s="216"/>
      <c r="M96" s="216"/>
      <c r="N96" s="216"/>
      <c r="O96" s="216"/>
      <c r="P96" s="216"/>
    </row>
    <row r="97" spans="1:16" ht="12.75">
      <c r="A97" s="213"/>
      <c r="B97" s="214"/>
      <c r="C97" s="213"/>
      <c r="D97" s="215"/>
      <c r="E97" s="216"/>
      <c r="F97" s="216"/>
      <c r="G97" s="216"/>
      <c r="H97" s="187"/>
      <c r="I97" s="187"/>
      <c r="J97" s="216"/>
      <c r="K97" s="216"/>
      <c r="L97" s="216"/>
      <c r="M97" s="216"/>
      <c r="N97" s="216"/>
      <c r="O97" s="216"/>
      <c r="P97" s="216"/>
    </row>
    <row r="98" spans="1:16" ht="12.75">
      <c r="A98" s="213"/>
      <c r="B98" s="214"/>
      <c r="C98" s="213"/>
      <c r="D98" s="215"/>
      <c r="E98" s="216"/>
      <c r="F98" s="216"/>
      <c r="G98" s="216"/>
      <c r="H98" s="187"/>
      <c r="I98" s="187"/>
      <c r="J98" s="216"/>
      <c r="K98" s="216"/>
      <c r="L98" s="216"/>
      <c r="M98" s="216"/>
      <c r="N98" s="216"/>
      <c r="O98" s="216"/>
      <c r="P98" s="216"/>
    </row>
    <row r="99" spans="1:16" ht="12.75">
      <c r="A99" s="213"/>
      <c r="B99" s="214"/>
      <c r="C99" s="213"/>
      <c r="D99" s="215"/>
      <c r="E99" s="216"/>
      <c r="F99" s="216"/>
      <c r="G99" s="216"/>
      <c r="H99" s="187"/>
      <c r="I99" s="187"/>
      <c r="J99" s="216"/>
      <c r="K99" s="216"/>
      <c r="L99" s="216"/>
      <c r="M99" s="216"/>
      <c r="N99" s="216"/>
      <c r="O99" s="216"/>
      <c r="P99" s="216"/>
    </row>
    <row r="100" spans="1:16" ht="12.75">
      <c r="A100" s="213"/>
      <c r="B100" s="214"/>
      <c r="C100" s="213"/>
      <c r="D100" s="215"/>
      <c r="E100" s="216"/>
      <c r="F100" s="216"/>
      <c r="G100" s="216"/>
      <c r="H100" s="187"/>
      <c r="I100" s="187"/>
      <c r="J100" s="216"/>
      <c r="K100" s="216"/>
      <c r="L100" s="216"/>
      <c r="M100" s="216"/>
      <c r="N100" s="216"/>
      <c r="O100" s="216"/>
      <c r="P100" s="216"/>
    </row>
    <row r="101" spans="1:16" ht="12.75">
      <c r="A101" s="213"/>
      <c r="B101" s="214"/>
      <c r="C101" s="213"/>
      <c r="D101" s="215"/>
      <c r="E101" s="216"/>
      <c r="F101" s="216"/>
      <c r="G101" s="216"/>
      <c r="H101" s="187"/>
      <c r="I101" s="187"/>
      <c r="J101" s="216"/>
      <c r="K101" s="216"/>
      <c r="L101" s="216"/>
      <c r="M101" s="216"/>
      <c r="N101" s="216"/>
      <c r="O101" s="216"/>
      <c r="P101" s="216"/>
    </row>
    <row r="102" spans="1:16" ht="12.75">
      <c r="A102" s="213"/>
      <c r="B102" s="214"/>
      <c r="C102" s="213"/>
      <c r="D102" s="215"/>
      <c r="E102" s="216"/>
      <c r="F102" s="216"/>
      <c r="G102" s="216"/>
      <c r="H102" s="187"/>
      <c r="I102" s="187"/>
      <c r="J102" s="216"/>
      <c r="K102" s="216"/>
      <c r="L102" s="216"/>
      <c r="M102" s="216"/>
      <c r="N102" s="216"/>
      <c r="O102" s="216"/>
      <c r="P102" s="216"/>
    </row>
    <row r="103" spans="1:16" ht="12.75">
      <c r="A103" s="213"/>
      <c r="B103" s="214"/>
      <c r="C103" s="213"/>
      <c r="D103" s="215"/>
      <c r="E103" s="216"/>
      <c r="F103" s="216"/>
      <c r="G103" s="216"/>
      <c r="H103" s="187"/>
      <c r="I103" s="187"/>
      <c r="J103" s="216"/>
      <c r="K103" s="216"/>
      <c r="L103" s="216"/>
      <c r="M103" s="216"/>
      <c r="N103" s="216"/>
      <c r="O103" s="216"/>
      <c r="P103" s="216"/>
    </row>
    <row r="104" spans="1:16" ht="12.75">
      <c r="A104" s="213"/>
      <c r="B104" s="214"/>
      <c r="C104" s="213"/>
      <c r="D104" s="215"/>
      <c r="E104" s="216"/>
      <c r="F104" s="216"/>
      <c r="G104" s="216"/>
      <c r="H104" s="187"/>
      <c r="I104" s="187"/>
      <c r="J104" s="216"/>
      <c r="K104" s="216"/>
      <c r="L104" s="216"/>
      <c r="M104" s="216"/>
      <c r="N104" s="216"/>
      <c r="O104" s="216"/>
      <c r="P104" s="216"/>
    </row>
    <row r="105" spans="1:16" ht="12.75">
      <c r="A105" s="213"/>
      <c r="B105" s="214"/>
      <c r="C105" s="213"/>
      <c r="D105" s="215"/>
      <c r="E105" s="216"/>
      <c r="F105" s="216"/>
      <c r="G105" s="216"/>
      <c r="H105" s="187"/>
      <c r="I105" s="187"/>
      <c r="J105" s="216"/>
      <c r="K105" s="216"/>
      <c r="L105" s="216"/>
      <c r="M105" s="216"/>
      <c r="N105" s="216"/>
      <c r="O105" s="216"/>
      <c r="P105" s="216"/>
    </row>
    <row r="106" spans="1:16" ht="12.75">
      <c r="A106" s="213"/>
      <c r="B106" s="214"/>
      <c r="C106" s="213"/>
      <c r="D106" s="215"/>
      <c r="E106" s="216"/>
      <c r="F106" s="216"/>
      <c r="G106" s="216"/>
      <c r="H106" s="187"/>
      <c r="I106" s="187"/>
      <c r="J106" s="216"/>
      <c r="K106" s="216"/>
      <c r="L106" s="216"/>
      <c r="M106" s="216"/>
      <c r="N106" s="216"/>
      <c r="O106" s="216"/>
      <c r="P106" s="216"/>
    </row>
    <row r="107" spans="1:16" ht="12.75">
      <c r="A107" s="213"/>
      <c r="B107" s="214"/>
      <c r="C107" s="213"/>
      <c r="D107" s="215"/>
      <c r="E107" s="216"/>
      <c r="F107" s="216"/>
      <c r="G107" s="216"/>
      <c r="H107" s="187"/>
      <c r="I107" s="187"/>
      <c r="J107" s="216"/>
      <c r="K107" s="216"/>
      <c r="L107" s="216"/>
      <c r="M107" s="216"/>
      <c r="N107" s="216"/>
      <c r="O107" s="216"/>
      <c r="P107" s="216"/>
    </row>
    <row r="108" spans="1:16" ht="12.75">
      <c r="A108" s="213"/>
      <c r="B108" s="214"/>
      <c r="C108" s="213"/>
      <c r="D108" s="215"/>
      <c r="E108" s="216"/>
      <c r="F108" s="216"/>
      <c r="G108" s="216"/>
      <c r="H108" s="187"/>
      <c r="I108" s="187"/>
      <c r="J108" s="216"/>
      <c r="K108" s="216"/>
      <c r="L108" s="216"/>
      <c r="M108" s="216"/>
      <c r="N108" s="216"/>
      <c r="O108" s="216"/>
      <c r="P108" s="216"/>
    </row>
    <row r="109" spans="1:16" ht="12.75">
      <c r="A109" s="213"/>
      <c r="B109" s="214"/>
      <c r="C109" s="213"/>
      <c r="D109" s="215"/>
      <c r="E109" s="216"/>
      <c r="F109" s="216"/>
      <c r="G109" s="216"/>
      <c r="H109" s="187"/>
      <c r="I109" s="187"/>
      <c r="J109" s="216"/>
      <c r="K109" s="216"/>
      <c r="L109" s="216"/>
      <c r="M109" s="216"/>
      <c r="N109" s="216"/>
      <c r="O109" s="216"/>
      <c r="P109" s="216"/>
    </row>
    <row r="110" spans="1:16" ht="12.75">
      <c r="A110" s="213"/>
      <c r="B110" s="214"/>
      <c r="C110" s="213"/>
      <c r="D110" s="215"/>
      <c r="E110" s="216"/>
      <c r="F110" s="216"/>
      <c r="G110" s="216"/>
      <c r="H110" s="187"/>
      <c r="I110" s="187"/>
      <c r="J110" s="216"/>
      <c r="K110" s="216"/>
      <c r="L110" s="216"/>
      <c r="M110" s="216"/>
      <c r="N110" s="216"/>
      <c r="O110" s="216"/>
      <c r="P110" s="216"/>
    </row>
    <row r="111" spans="1:16" ht="12.75">
      <c r="A111" s="213"/>
      <c r="B111" s="214"/>
      <c r="C111" s="213"/>
      <c r="D111" s="215"/>
      <c r="E111" s="216"/>
      <c r="F111" s="216"/>
      <c r="G111" s="216"/>
      <c r="H111" s="187"/>
      <c r="I111" s="187"/>
      <c r="J111" s="216"/>
      <c r="K111" s="216"/>
      <c r="L111" s="216"/>
      <c r="M111" s="216"/>
      <c r="N111" s="216"/>
      <c r="O111" s="216"/>
      <c r="P111" s="216"/>
    </row>
    <row r="112" spans="1:16" ht="12.75">
      <c r="A112" s="213"/>
      <c r="B112" s="214"/>
      <c r="C112" s="213"/>
      <c r="D112" s="215"/>
      <c r="E112" s="216"/>
      <c r="F112" s="216"/>
      <c r="G112" s="216"/>
      <c r="H112" s="187"/>
      <c r="I112" s="187"/>
      <c r="J112" s="216"/>
      <c r="K112" s="216"/>
      <c r="L112" s="216"/>
      <c r="M112" s="216"/>
      <c r="N112" s="216"/>
      <c r="O112" s="216"/>
      <c r="P112" s="216"/>
    </row>
    <row r="113" spans="1:16" ht="12.75">
      <c r="A113" s="213"/>
      <c r="B113" s="214"/>
      <c r="C113" s="213"/>
      <c r="D113" s="215"/>
      <c r="E113" s="216"/>
      <c r="F113" s="216"/>
      <c r="G113" s="216"/>
      <c r="H113" s="187"/>
      <c r="I113" s="187"/>
      <c r="J113" s="216"/>
      <c r="K113" s="216"/>
      <c r="L113" s="216"/>
      <c r="M113" s="216"/>
      <c r="N113" s="216"/>
      <c r="O113" s="216"/>
      <c r="P113" s="216"/>
    </row>
    <row r="114" spans="1:16" ht="12.75">
      <c r="A114" s="213"/>
      <c r="B114" s="214"/>
      <c r="C114" s="213"/>
      <c r="D114" s="215"/>
      <c r="E114" s="216"/>
      <c r="F114" s="216"/>
      <c r="G114" s="216"/>
      <c r="H114" s="187"/>
      <c r="I114" s="187"/>
      <c r="J114" s="216"/>
      <c r="K114" s="216"/>
      <c r="L114" s="216"/>
      <c r="M114" s="216"/>
      <c r="N114" s="216"/>
      <c r="O114" s="216"/>
      <c r="P114" s="216"/>
    </row>
    <row r="115" spans="1:16" ht="12.75">
      <c r="A115" s="213"/>
      <c r="B115" s="214"/>
      <c r="C115" s="213"/>
      <c r="D115" s="215"/>
      <c r="E115" s="216"/>
      <c r="F115" s="216"/>
      <c r="G115" s="216"/>
      <c r="H115" s="187"/>
      <c r="I115" s="187"/>
      <c r="J115" s="216"/>
      <c r="K115" s="216"/>
      <c r="L115" s="216"/>
      <c r="M115" s="216"/>
      <c r="N115" s="216"/>
      <c r="O115" s="216"/>
      <c r="P115" s="216"/>
    </row>
    <row r="116" spans="1:16" ht="12.75">
      <c r="A116" s="213"/>
      <c r="B116" s="214"/>
      <c r="C116" s="213"/>
      <c r="D116" s="215"/>
      <c r="E116" s="216"/>
      <c r="F116" s="216"/>
      <c r="G116" s="216"/>
      <c r="H116" s="187"/>
      <c r="I116" s="187"/>
      <c r="J116" s="216"/>
      <c r="K116" s="216"/>
      <c r="L116" s="216"/>
      <c r="M116" s="216"/>
      <c r="N116" s="216"/>
      <c r="O116" s="216"/>
      <c r="P116" s="216"/>
    </row>
    <row r="117" spans="1:16" ht="12.75">
      <c r="A117" s="213"/>
      <c r="B117" s="214"/>
      <c r="C117" s="213"/>
      <c r="D117" s="215"/>
      <c r="E117" s="216"/>
      <c r="F117" s="216"/>
      <c r="G117" s="216"/>
      <c r="H117" s="187"/>
      <c r="I117" s="187"/>
      <c r="J117" s="216"/>
      <c r="K117" s="216"/>
      <c r="L117" s="216"/>
      <c r="M117" s="216"/>
      <c r="N117" s="216"/>
      <c r="O117" s="216"/>
      <c r="P117" s="216"/>
    </row>
    <row r="118" spans="1:16" ht="12.75">
      <c r="A118" s="213"/>
      <c r="B118" s="214"/>
      <c r="C118" s="213"/>
      <c r="D118" s="215"/>
      <c r="E118" s="216"/>
      <c r="F118" s="216"/>
      <c r="G118" s="216"/>
      <c r="H118" s="187"/>
      <c r="I118" s="187"/>
      <c r="J118" s="216"/>
      <c r="K118" s="216"/>
      <c r="L118" s="216"/>
      <c r="M118" s="216"/>
      <c r="N118" s="216"/>
      <c r="O118" s="216"/>
      <c r="P118" s="216"/>
    </row>
    <row r="119" spans="1:16" ht="12.75">
      <c r="A119" s="213"/>
      <c r="B119" s="214"/>
      <c r="C119" s="213"/>
      <c r="D119" s="215"/>
      <c r="E119" s="216"/>
      <c r="F119" s="216"/>
      <c r="G119" s="216"/>
      <c r="H119" s="187"/>
      <c r="I119" s="187"/>
      <c r="J119" s="216"/>
      <c r="K119" s="216"/>
      <c r="L119" s="216"/>
      <c r="M119" s="216"/>
      <c r="N119" s="216"/>
      <c r="O119" s="216"/>
      <c r="P119" s="216"/>
    </row>
    <row r="120" spans="1:16" ht="12.75">
      <c r="A120" s="213"/>
      <c r="B120" s="214"/>
      <c r="C120" s="213"/>
      <c r="D120" s="215"/>
      <c r="E120" s="216"/>
      <c r="F120" s="216"/>
      <c r="G120" s="216"/>
      <c r="H120" s="187"/>
      <c r="I120" s="187"/>
      <c r="J120" s="216"/>
      <c r="K120" s="216"/>
      <c r="L120" s="216"/>
      <c r="M120" s="216"/>
      <c r="N120" s="216"/>
      <c r="O120" s="216"/>
      <c r="P120" s="216"/>
    </row>
    <row r="121" spans="1:16" ht="12.75">
      <c r="A121" s="213"/>
      <c r="B121" s="214"/>
      <c r="C121" s="213"/>
      <c r="D121" s="215"/>
      <c r="E121" s="216"/>
      <c r="F121" s="216"/>
      <c r="G121" s="216"/>
      <c r="H121" s="187"/>
      <c r="I121" s="187"/>
      <c r="J121" s="216"/>
      <c r="K121" s="216"/>
      <c r="L121" s="216"/>
      <c r="M121" s="216"/>
      <c r="N121" s="216"/>
      <c r="O121" s="216"/>
      <c r="P121" s="216"/>
    </row>
    <row r="122" spans="1:16" ht="12.75">
      <c r="A122" s="213"/>
      <c r="B122" s="214"/>
      <c r="C122" s="213"/>
      <c r="D122" s="215"/>
      <c r="E122" s="216"/>
      <c r="F122" s="216"/>
      <c r="G122" s="216"/>
      <c r="H122" s="187"/>
      <c r="I122" s="187"/>
      <c r="J122" s="216"/>
      <c r="K122" s="216"/>
      <c r="L122" s="216"/>
      <c r="M122" s="216"/>
      <c r="N122" s="216"/>
      <c r="O122" s="216"/>
      <c r="P122" s="216"/>
    </row>
    <row r="123" spans="1:16" ht="12.75">
      <c r="A123" s="213"/>
      <c r="B123" s="214"/>
      <c r="C123" s="213"/>
      <c r="D123" s="215"/>
      <c r="E123" s="216"/>
      <c r="F123" s="216"/>
      <c r="G123" s="216"/>
      <c r="H123" s="187"/>
      <c r="I123" s="187"/>
      <c r="J123" s="216"/>
      <c r="K123" s="216"/>
      <c r="L123" s="216"/>
      <c r="M123" s="216"/>
      <c r="N123" s="216"/>
      <c r="O123" s="216"/>
      <c r="P123" s="216"/>
    </row>
    <row r="124" spans="1:16" ht="12.75">
      <c r="A124" s="213"/>
      <c r="B124" s="214"/>
      <c r="C124" s="213"/>
      <c r="D124" s="215"/>
      <c r="E124" s="216"/>
      <c r="F124" s="216"/>
      <c r="G124" s="216"/>
      <c r="H124" s="187"/>
      <c r="I124" s="187"/>
      <c r="J124" s="216"/>
      <c r="K124" s="216"/>
      <c r="L124" s="216"/>
      <c r="M124" s="216"/>
      <c r="N124" s="216"/>
      <c r="O124" s="216"/>
      <c r="P124" s="216"/>
    </row>
    <row r="125" spans="1:16" ht="12.75">
      <c r="A125" s="213"/>
      <c r="B125" s="214"/>
      <c r="C125" s="213"/>
      <c r="D125" s="215"/>
      <c r="E125" s="216"/>
      <c r="F125" s="216"/>
      <c r="G125" s="216"/>
      <c r="H125" s="187"/>
      <c r="I125" s="187"/>
      <c r="J125" s="216"/>
      <c r="K125" s="216"/>
      <c r="L125" s="216"/>
      <c r="M125" s="216"/>
      <c r="N125" s="216"/>
      <c r="O125" s="216"/>
      <c r="P125" s="216"/>
    </row>
    <row r="126" spans="1:16" ht="12.75">
      <c r="A126" s="213"/>
      <c r="B126" s="214"/>
      <c r="C126" s="213"/>
      <c r="D126" s="215"/>
      <c r="E126" s="216"/>
      <c r="F126" s="216"/>
      <c r="G126" s="216"/>
      <c r="H126" s="187"/>
      <c r="I126" s="187"/>
      <c r="J126" s="216"/>
      <c r="K126" s="216"/>
      <c r="L126" s="216"/>
      <c r="M126" s="216"/>
      <c r="N126" s="216"/>
      <c r="O126" s="216"/>
      <c r="P126" s="216"/>
    </row>
    <row r="127" spans="1:16" ht="12.75">
      <c r="A127" s="213"/>
      <c r="B127" s="214"/>
      <c r="C127" s="213"/>
      <c r="D127" s="215"/>
      <c r="E127" s="216"/>
      <c r="F127" s="216"/>
      <c r="G127" s="216"/>
      <c r="H127" s="187"/>
      <c r="I127" s="187"/>
      <c r="J127" s="216"/>
      <c r="K127" s="216"/>
      <c r="L127" s="216"/>
      <c r="M127" s="216"/>
      <c r="N127" s="216"/>
      <c r="O127" s="216"/>
      <c r="P127" s="216"/>
    </row>
    <row r="128" spans="1:16" ht="12.75">
      <c r="A128" s="213"/>
      <c r="B128" s="214"/>
      <c r="C128" s="213"/>
      <c r="D128" s="215"/>
      <c r="E128" s="216"/>
      <c r="F128" s="216"/>
      <c r="G128" s="216"/>
      <c r="H128" s="187"/>
      <c r="I128" s="187"/>
      <c r="J128" s="216"/>
      <c r="K128" s="216"/>
      <c r="L128" s="216"/>
      <c r="M128" s="216"/>
      <c r="N128" s="216"/>
      <c r="O128" s="216"/>
      <c r="P128" s="216"/>
    </row>
    <row r="129" spans="1:16" ht="12.75">
      <c r="A129" s="213"/>
      <c r="B129" s="214"/>
      <c r="C129" s="213"/>
      <c r="D129" s="215"/>
      <c r="E129" s="216"/>
      <c r="F129" s="216"/>
      <c r="G129" s="216"/>
      <c r="H129" s="187"/>
      <c r="I129" s="187"/>
      <c r="J129" s="216"/>
      <c r="K129" s="216"/>
      <c r="L129" s="216"/>
      <c r="M129" s="216"/>
      <c r="N129" s="216"/>
      <c r="O129" s="216"/>
      <c r="P129" s="216"/>
    </row>
    <row r="130" spans="1:16" ht="12.75">
      <c r="A130" s="213"/>
      <c r="B130" s="214"/>
      <c r="C130" s="213"/>
      <c r="D130" s="215"/>
      <c r="E130" s="216"/>
      <c r="F130" s="216"/>
      <c r="G130" s="216"/>
      <c r="H130" s="187"/>
      <c r="I130" s="187"/>
      <c r="J130" s="216"/>
      <c r="K130" s="216"/>
      <c r="L130" s="216"/>
      <c r="M130" s="216"/>
      <c r="N130" s="216"/>
      <c r="O130" s="216"/>
      <c r="P130" s="216"/>
    </row>
    <row r="131" spans="1:16" ht="12.75">
      <c r="A131" s="213"/>
      <c r="B131" s="214"/>
      <c r="C131" s="213"/>
      <c r="D131" s="215"/>
      <c r="E131" s="216"/>
      <c r="F131" s="216"/>
      <c r="G131" s="216"/>
      <c r="H131" s="187"/>
      <c r="I131" s="187"/>
      <c r="J131" s="216"/>
      <c r="K131" s="216"/>
      <c r="L131" s="216"/>
      <c r="M131" s="216"/>
      <c r="N131" s="216"/>
      <c r="O131" s="216"/>
      <c r="P131" s="216"/>
    </row>
    <row r="132" spans="1:16" ht="12.75">
      <c r="A132" s="213"/>
      <c r="B132" s="214"/>
      <c r="C132" s="213"/>
      <c r="D132" s="215"/>
      <c r="E132" s="216"/>
      <c r="F132" s="216"/>
      <c r="G132" s="216"/>
      <c r="H132" s="187"/>
      <c r="I132" s="187"/>
      <c r="J132" s="216"/>
      <c r="K132" s="216"/>
      <c r="L132" s="216"/>
      <c r="M132" s="216"/>
      <c r="N132" s="216"/>
      <c r="O132" s="216"/>
      <c r="P132" s="216"/>
    </row>
    <row r="133" spans="1:16" ht="12.75">
      <c r="A133" s="213"/>
      <c r="B133" s="214"/>
      <c r="C133" s="213"/>
      <c r="D133" s="215"/>
      <c r="E133" s="216"/>
      <c r="F133" s="216"/>
      <c r="G133" s="216"/>
      <c r="H133" s="187"/>
      <c r="I133" s="187"/>
      <c r="J133" s="216"/>
      <c r="K133" s="216"/>
      <c r="L133" s="216"/>
      <c r="M133" s="216"/>
      <c r="N133" s="216"/>
      <c r="O133" s="216"/>
      <c r="P133" s="216"/>
    </row>
    <row r="134" spans="1:16" ht="12.75">
      <c r="A134" s="213"/>
      <c r="B134" s="214"/>
      <c r="C134" s="213"/>
      <c r="D134" s="215"/>
      <c r="E134" s="216"/>
      <c r="F134" s="216"/>
      <c r="G134" s="216"/>
      <c r="H134" s="187"/>
      <c r="I134" s="187"/>
      <c r="J134" s="216"/>
      <c r="K134" s="216"/>
      <c r="L134" s="216"/>
      <c r="M134" s="216"/>
      <c r="N134" s="216"/>
      <c r="O134" s="216"/>
      <c r="P134" s="216"/>
    </row>
    <row r="135" spans="1:16" ht="12.75">
      <c r="A135" s="213"/>
      <c r="B135" s="214"/>
      <c r="C135" s="213"/>
      <c r="D135" s="215"/>
      <c r="E135" s="216"/>
      <c r="F135" s="216"/>
      <c r="G135" s="216"/>
      <c r="H135" s="187"/>
      <c r="I135" s="187"/>
      <c r="J135" s="216"/>
      <c r="K135" s="216"/>
      <c r="L135" s="216"/>
      <c r="M135" s="216"/>
      <c r="N135" s="216"/>
      <c r="O135" s="216"/>
      <c r="P135" s="216"/>
    </row>
    <row r="136" spans="1:16" ht="12.75">
      <c r="A136" s="213"/>
      <c r="B136" s="214"/>
      <c r="C136" s="213"/>
      <c r="D136" s="215"/>
      <c r="E136" s="216"/>
      <c r="F136" s="216"/>
      <c r="G136" s="216"/>
      <c r="H136" s="187"/>
      <c r="I136" s="187"/>
      <c r="J136" s="216"/>
      <c r="K136" s="216"/>
      <c r="L136" s="216"/>
      <c r="M136" s="216"/>
      <c r="N136" s="216"/>
      <c r="O136" s="216"/>
      <c r="P136" s="216"/>
    </row>
    <row r="137" spans="1:16" ht="12.75">
      <c r="A137" s="213"/>
      <c r="B137" s="214"/>
      <c r="C137" s="213"/>
      <c r="D137" s="215"/>
      <c r="E137" s="216"/>
      <c r="F137" s="216"/>
      <c r="G137" s="216"/>
      <c r="H137" s="187"/>
      <c r="I137" s="187"/>
      <c r="J137" s="216"/>
      <c r="K137" s="216"/>
      <c r="L137" s="216"/>
      <c r="M137" s="216"/>
      <c r="N137" s="216"/>
      <c r="O137" s="216"/>
      <c r="P137" s="216"/>
    </row>
    <row r="138" spans="1:16" ht="12.75">
      <c r="A138" s="213"/>
      <c r="B138" s="214"/>
      <c r="C138" s="213"/>
      <c r="D138" s="215"/>
      <c r="E138" s="216"/>
      <c r="F138" s="216"/>
      <c r="G138" s="216"/>
      <c r="H138" s="187"/>
      <c r="I138" s="187"/>
      <c r="J138" s="216"/>
      <c r="K138" s="216"/>
      <c r="L138" s="216"/>
      <c r="M138" s="216"/>
      <c r="N138" s="216"/>
      <c r="O138" s="216"/>
      <c r="P138" s="216"/>
    </row>
    <row r="139" spans="1:16" ht="12.75">
      <c r="A139" s="213"/>
      <c r="B139" s="214"/>
      <c r="C139" s="213"/>
      <c r="D139" s="215"/>
      <c r="E139" s="216"/>
      <c r="F139" s="216"/>
      <c r="G139" s="216"/>
      <c r="H139" s="187"/>
      <c r="I139" s="187"/>
      <c r="J139" s="216"/>
      <c r="K139" s="216"/>
      <c r="L139" s="216"/>
      <c r="M139" s="216"/>
      <c r="N139" s="216"/>
      <c r="O139" s="216"/>
      <c r="P139" s="216"/>
    </row>
    <row r="140" spans="1:16" ht="12.75">
      <c r="A140" s="213"/>
      <c r="B140" s="214"/>
      <c r="C140" s="213"/>
      <c r="D140" s="215"/>
      <c r="E140" s="216"/>
      <c r="F140" s="216"/>
      <c r="G140" s="216"/>
      <c r="H140" s="187"/>
      <c r="I140" s="187"/>
      <c r="J140" s="216"/>
      <c r="K140" s="216"/>
      <c r="L140" s="216"/>
      <c r="M140" s="216"/>
      <c r="N140" s="216"/>
      <c r="O140" s="216"/>
      <c r="P140" s="216"/>
    </row>
    <row r="141" spans="1:16" ht="12.75">
      <c r="A141" s="213"/>
      <c r="B141" s="214"/>
      <c r="C141" s="213"/>
      <c r="D141" s="215"/>
      <c r="E141" s="216"/>
      <c r="F141" s="216"/>
      <c r="G141" s="216"/>
      <c r="H141" s="187"/>
      <c r="I141" s="187"/>
      <c r="J141" s="216"/>
      <c r="K141" s="216"/>
      <c r="L141" s="216"/>
      <c r="M141" s="216"/>
      <c r="N141" s="216"/>
      <c r="O141" s="216"/>
      <c r="P141" s="216"/>
    </row>
    <row r="142" spans="1:16" ht="12.75">
      <c r="A142" s="213"/>
      <c r="B142" s="214"/>
      <c r="C142" s="213"/>
      <c r="D142" s="215"/>
      <c r="E142" s="216"/>
      <c r="F142" s="216"/>
      <c r="G142" s="216"/>
      <c r="H142" s="187"/>
      <c r="I142" s="187"/>
      <c r="J142" s="216"/>
      <c r="K142" s="216"/>
      <c r="L142" s="216"/>
      <c r="M142" s="216"/>
      <c r="N142" s="216"/>
      <c r="O142" s="216"/>
      <c r="P142" s="216"/>
    </row>
    <row r="143" spans="1:16" ht="12.75">
      <c r="A143" s="213"/>
      <c r="B143" s="214"/>
      <c r="C143" s="213"/>
      <c r="D143" s="215"/>
      <c r="E143" s="216"/>
      <c r="F143" s="216"/>
      <c r="G143" s="216"/>
      <c r="H143" s="187"/>
      <c r="I143" s="187"/>
      <c r="J143" s="216"/>
      <c r="K143" s="216"/>
      <c r="L143" s="216"/>
      <c r="M143" s="216"/>
      <c r="N143" s="216"/>
      <c r="O143" s="216"/>
      <c r="P143" s="216"/>
    </row>
    <row r="144" spans="1:16" ht="12.75">
      <c r="A144" s="213"/>
      <c r="B144" s="214"/>
      <c r="C144" s="213"/>
      <c r="D144" s="215"/>
      <c r="E144" s="216"/>
      <c r="F144" s="216"/>
      <c r="G144" s="216"/>
      <c r="H144" s="187"/>
      <c r="I144" s="187"/>
      <c r="J144" s="216"/>
      <c r="K144" s="216"/>
      <c r="L144" s="216"/>
      <c r="M144" s="216"/>
      <c r="N144" s="216"/>
      <c r="O144" s="216"/>
      <c r="P144" s="216"/>
    </row>
    <row r="145" spans="1:16" ht="12.75">
      <c r="A145" s="213"/>
      <c r="B145" s="214"/>
      <c r="C145" s="213"/>
      <c r="D145" s="215"/>
      <c r="E145" s="216"/>
      <c r="F145" s="216"/>
      <c r="G145" s="216"/>
      <c r="H145" s="187"/>
      <c r="I145" s="187"/>
      <c r="J145" s="216"/>
      <c r="K145" s="216"/>
      <c r="L145" s="216"/>
      <c r="M145" s="216"/>
      <c r="N145" s="216"/>
      <c r="O145" s="216"/>
      <c r="P145" s="216"/>
    </row>
    <row r="146" spans="1:16" ht="12.75">
      <c r="A146" s="213"/>
      <c r="B146" s="214"/>
      <c r="C146" s="213"/>
      <c r="D146" s="215"/>
      <c r="E146" s="216"/>
      <c r="F146" s="216"/>
      <c r="G146" s="216"/>
      <c r="H146" s="187"/>
      <c r="I146" s="187"/>
      <c r="J146" s="216"/>
      <c r="K146" s="216"/>
      <c r="L146" s="216"/>
      <c r="M146" s="216"/>
      <c r="N146" s="216"/>
      <c r="O146" s="216"/>
      <c r="P146" s="216"/>
    </row>
    <row r="147" spans="1:16" ht="12.75">
      <c r="A147" s="213"/>
      <c r="B147" s="214"/>
      <c r="C147" s="213"/>
      <c r="D147" s="215"/>
      <c r="E147" s="216"/>
      <c r="F147" s="216"/>
      <c r="G147" s="216"/>
      <c r="H147" s="187"/>
      <c r="I147" s="187"/>
      <c r="J147" s="216"/>
      <c r="K147" s="216"/>
      <c r="L147" s="216"/>
      <c r="M147" s="216"/>
      <c r="N147" s="216"/>
      <c r="O147" s="216"/>
      <c r="P147" s="216"/>
    </row>
    <row r="148" spans="1:16" ht="12.75">
      <c r="A148" s="213"/>
      <c r="B148" s="214"/>
      <c r="C148" s="213"/>
      <c r="D148" s="215"/>
      <c r="E148" s="216"/>
      <c r="F148" s="216"/>
      <c r="G148" s="216"/>
      <c r="H148" s="187"/>
      <c r="I148" s="187"/>
      <c r="J148" s="216"/>
      <c r="K148" s="216"/>
      <c r="L148" s="216"/>
      <c r="M148" s="216"/>
      <c r="N148" s="216"/>
      <c r="O148" s="216"/>
      <c r="P148" s="216"/>
    </row>
    <row r="149" spans="1:16" ht="12.75">
      <c r="A149" s="213"/>
      <c r="B149" s="214"/>
      <c r="C149" s="213"/>
      <c r="D149" s="215"/>
      <c r="E149" s="216"/>
      <c r="F149" s="216"/>
      <c r="G149" s="216"/>
      <c r="H149" s="187"/>
      <c r="I149" s="187"/>
      <c r="J149" s="216"/>
      <c r="K149" s="216"/>
      <c r="L149" s="216"/>
      <c r="M149" s="216"/>
      <c r="N149" s="216"/>
      <c r="O149" s="216"/>
      <c r="P149" s="216"/>
    </row>
    <row r="150" spans="1:16" ht="12.75">
      <c r="A150" s="213"/>
      <c r="B150" s="214"/>
      <c r="C150" s="213"/>
      <c r="D150" s="215"/>
      <c r="E150" s="216"/>
      <c r="F150" s="216"/>
      <c r="G150" s="216"/>
      <c r="H150" s="187"/>
      <c r="I150" s="187"/>
      <c r="J150" s="216"/>
      <c r="K150" s="216"/>
      <c r="L150" s="216"/>
      <c r="M150" s="216"/>
      <c r="N150" s="216"/>
      <c r="O150" s="216"/>
      <c r="P150" s="216"/>
    </row>
    <row r="151" spans="1:16" ht="12.75">
      <c r="A151" s="213"/>
      <c r="B151" s="214"/>
      <c r="C151" s="213"/>
      <c r="D151" s="215"/>
      <c r="E151" s="216"/>
      <c r="F151" s="216"/>
      <c r="G151" s="216"/>
      <c r="H151" s="187"/>
      <c r="I151" s="187"/>
      <c r="J151" s="216"/>
      <c r="K151" s="216"/>
      <c r="L151" s="216"/>
      <c r="M151" s="216"/>
      <c r="N151" s="216"/>
      <c r="O151" s="216"/>
      <c r="P151" s="216"/>
    </row>
    <row r="152" spans="1:16" ht="12.75">
      <c r="A152" s="213"/>
      <c r="B152" s="214"/>
      <c r="C152" s="213"/>
      <c r="D152" s="215"/>
      <c r="E152" s="216"/>
      <c r="F152" s="216"/>
      <c r="G152" s="216"/>
      <c r="H152" s="187"/>
      <c r="I152" s="187"/>
      <c r="J152" s="216"/>
      <c r="K152" s="216"/>
      <c r="L152" s="216"/>
      <c r="M152" s="216"/>
      <c r="N152" s="216"/>
      <c r="O152" s="216"/>
      <c r="P152" s="216"/>
    </row>
    <row r="153" spans="1:16" ht="12.75">
      <c r="A153" s="213"/>
      <c r="B153" s="214"/>
      <c r="C153" s="213"/>
      <c r="D153" s="215"/>
      <c r="E153" s="216"/>
      <c r="F153" s="216"/>
      <c r="G153" s="216"/>
      <c r="H153" s="187"/>
      <c r="I153" s="187"/>
      <c r="J153" s="216"/>
      <c r="K153" s="216"/>
      <c r="L153" s="216"/>
      <c r="M153" s="216"/>
      <c r="N153" s="216"/>
      <c r="O153" s="216"/>
      <c r="P153" s="216"/>
    </row>
    <row r="154" spans="1:16" ht="12.75">
      <c r="A154" s="213"/>
      <c r="B154" s="214"/>
      <c r="C154" s="213"/>
      <c r="D154" s="215"/>
      <c r="E154" s="216"/>
      <c r="F154" s="216"/>
      <c r="G154" s="216"/>
      <c r="H154" s="187"/>
      <c r="I154" s="187"/>
      <c r="J154" s="216"/>
      <c r="K154" s="216"/>
      <c r="L154" s="216"/>
      <c r="M154" s="216"/>
      <c r="N154" s="216"/>
      <c r="O154" s="216"/>
      <c r="P154" s="216"/>
    </row>
    <row r="155" spans="1:16" ht="12.75">
      <c r="A155" s="213"/>
      <c r="B155" s="214"/>
      <c r="C155" s="213"/>
      <c r="D155" s="215"/>
      <c r="E155" s="216"/>
      <c r="F155" s="216"/>
      <c r="G155" s="216"/>
      <c r="H155" s="187"/>
      <c r="I155" s="187"/>
      <c r="J155" s="216"/>
      <c r="K155" s="216"/>
      <c r="L155" s="216"/>
      <c r="M155" s="216"/>
      <c r="N155" s="216"/>
      <c r="O155" s="216"/>
      <c r="P155" s="216"/>
    </row>
    <row r="156" spans="1:16" ht="12.75">
      <c r="A156" s="213"/>
      <c r="B156" s="214"/>
      <c r="C156" s="213"/>
      <c r="D156" s="215"/>
      <c r="E156" s="216"/>
      <c r="F156" s="216"/>
      <c r="G156" s="216"/>
      <c r="H156" s="187"/>
      <c r="I156" s="187"/>
      <c r="J156" s="216"/>
      <c r="K156" s="216"/>
      <c r="L156" s="216"/>
      <c r="M156" s="216"/>
      <c r="N156" s="216"/>
      <c r="O156" s="216"/>
      <c r="P156" s="216"/>
    </row>
    <row r="157" spans="1:16" ht="12.75">
      <c r="A157" s="213"/>
      <c r="B157" s="214"/>
      <c r="C157" s="213"/>
      <c r="D157" s="215"/>
      <c r="E157" s="216"/>
      <c r="F157" s="216"/>
      <c r="G157" s="216"/>
      <c r="H157" s="187"/>
      <c r="I157" s="187"/>
      <c r="J157" s="216"/>
      <c r="K157" s="216"/>
      <c r="L157" s="216"/>
      <c r="M157" s="216"/>
      <c r="N157" s="216"/>
      <c r="O157" s="216"/>
      <c r="P157" s="216"/>
    </row>
    <row r="158" spans="1:16" ht="12.75">
      <c r="A158" s="213"/>
      <c r="B158" s="214"/>
      <c r="C158" s="213"/>
      <c r="D158" s="215"/>
      <c r="E158" s="216"/>
      <c r="F158" s="216"/>
      <c r="G158" s="216"/>
      <c r="H158" s="187"/>
      <c r="I158" s="187"/>
      <c r="J158" s="216"/>
      <c r="K158" s="216"/>
      <c r="L158" s="216"/>
      <c r="M158" s="216"/>
      <c r="N158" s="216"/>
      <c r="O158" s="216"/>
      <c r="P158" s="216"/>
    </row>
    <row r="159" spans="1:16" ht="12.75">
      <c r="A159" s="213"/>
      <c r="B159" s="214"/>
      <c r="C159" s="213"/>
      <c r="D159" s="215"/>
      <c r="E159" s="216"/>
      <c r="F159" s="216"/>
      <c r="G159" s="216"/>
      <c r="H159" s="187"/>
      <c r="I159" s="187"/>
      <c r="J159" s="216"/>
      <c r="K159" s="216"/>
      <c r="L159" s="216"/>
      <c r="M159" s="216"/>
      <c r="N159" s="216"/>
      <c r="O159" s="216"/>
      <c r="P159" s="216"/>
    </row>
    <row r="160" spans="1:16" ht="12.75">
      <c r="A160" s="213"/>
      <c r="B160" s="214"/>
      <c r="C160" s="213"/>
      <c r="D160" s="215"/>
      <c r="E160" s="216"/>
      <c r="F160" s="216"/>
      <c r="G160" s="216"/>
      <c r="H160" s="187"/>
      <c r="I160" s="187"/>
      <c r="J160" s="216"/>
      <c r="K160" s="216"/>
      <c r="L160" s="216"/>
      <c r="M160" s="216"/>
      <c r="N160" s="216"/>
      <c r="O160" s="216"/>
      <c r="P160" s="216"/>
    </row>
  </sheetData>
  <sheetProtection selectLockedCells="1" selectUnlockedCells="1"/>
  <mergeCells count="20">
    <mergeCell ref="A7:B7"/>
    <mergeCell ref="C30:G30"/>
    <mergeCell ref="K30:P30"/>
    <mergeCell ref="I32:J32"/>
    <mergeCell ref="F10:K10"/>
    <mergeCell ref="L10:P10"/>
    <mergeCell ref="C24:K24"/>
    <mergeCell ref="C25:K25"/>
    <mergeCell ref="D10:D11"/>
    <mergeCell ref="E10:E11"/>
    <mergeCell ref="A29:B29"/>
    <mergeCell ref="I29:J29"/>
    <mergeCell ref="A1:P1"/>
    <mergeCell ref="A2:P2"/>
    <mergeCell ref="M8:N8"/>
    <mergeCell ref="O8:P8"/>
    <mergeCell ref="G9:H9"/>
    <mergeCell ref="A10:A11"/>
    <mergeCell ref="B10:B11"/>
    <mergeCell ref="C10:C11"/>
  </mergeCells>
  <printOptions horizontalCentered="1"/>
  <pageMargins left="0.3902777777777778" right="0.35" top="0.8347222222222223" bottom="0.5902777777777778" header="0.5118055555555555" footer="0.19652777777777777"/>
  <pageSetup firstPageNumber="1" useFirstPageNumber="1" horizontalDpi="300" verticalDpi="300" orientation="landscape" paperSize="9" scale="55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240"/>
  <sheetViews>
    <sheetView showZeros="0" view="pageBreakPreview" zoomScale="70" zoomScaleNormal="55" zoomScaleSheetLayoutView="70" zoomScalePageLayoutView="0" workbookViewId="0" topLeftCell="A1">
      <selection activeCell="A73" sqref="A73:IV77"/>
    </sheetView>
  </sheetViews>
  <sheetFormatPr defaultColWidth="37" defaultRowHeight="15.75"/>
  <cols>
    <col min="1" max="1" width="4.796875" style="225" customWidth="1"/>
    <col min="2" max="2" width="9.09765625" style="226" customWidth="1"/>
    <col min="3" max="3" width="30" style="187" customWidth="1"/>
    <col min="4" max="4" width="6.19921875" style="227" customWidth="1"/>
    <col min="5" max="5" width="9.19921875" style="225" customWidth="1"/>
    <col min="6" max="6" width="6" style="187" customWidth="1"/>
    <col min="7" max="7" width="8" style="187" customWidth="1"/>
    <col min="8" max="8" width="9.296875" style="228" customWidth="1"/>
    <col min="9" max="9" width="12.296875" style="228" customWidth="1"/>
    <col min="10" max="10" width="7.796875" style="187" customWidth="1"/>
    <col min="11" max="11" width="13.296875" style="187" customWidth="1"/>
    <col min="12" max="12" width="10.3984375" style="187" customWidth="1"/>
    <col min="13" max="13" width="11" style="187" customWidth="1"/>
    <col min="14" max="14" width="12" style="187" customWidth="1"/>
    <col min="15" max="15" width="11.3984375" style="187" customWidth="1"/>
    <col min="16" max="16" width="12.59765625" style="187" customWidth="1"/>
    <col min="17" max="34" width="11.296875" style="187" customWidth="1"/>
    <col min="35" max="16384" width="37" style="187" customWidth="1"/>
  </cols>
  <sheetData>
    <row r="1" spans="1:16" ht="19.5" customHeight="1">
      <c r="A1" s="425" t="s">
        <v>477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</row>
    <row r="2" spans="1:16" ht="19.5" customHeight="1">
      <c r="A2" s="426" t="s">
        <v>478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</row>
    <row r="3" spans="1:16" ht="19.5" customHeight="1">
      <c r="A3" s="53" t="str">
        <f>'1-3 (1)'!A3</f>
        <v>Būves nosaukums:     Tautas nama "Kalngravas" rekonstrukcija- 2. kārta </v>
      </c>
      <c r="B3" s="53"/>
      <c r="C3" s="189"/>
      <c r="D3" s="190"/>
      <c r="E3" s="190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6" ht="19.5" customHeight="1">
      <c r="A4" s="53" t="str">
        <f>'1-3 (1)'!A4</f>
        <v>Objekta nosaukums:  Tautas nama "Kalngravas" rekonstrukcija</v>
      </c>
      <c r="B4" s="53"/>
      <c r="C4" s="189"/>
      <c r="D4" s="190"/>
      <c r="E4" s="190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</row>
    <row r="5" spans="1:16" ht="19.5" customHeight="1">
      <c r="A5" s="53" t="str">
        <f>'1-3 (1)'!A5</f>
        <v>Būves adrese:  Kalngravas 1, Sarkaņu pagasts, Madonas novads</v>
      </c>
      <c r="B5" s="53"/>
      <c r="C5" s="189"/>
      <c r="D5" s="190"/>
      <c r="E5" s="190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</row>
    <row r="6" spans="1:16" ht="19.5" customHeight="1">
      <c r="A6" s="53" t="str">
        <f>'1-3 (1)'!A6</f>
        <v>Pasūtījuma Nr.: </v>
      </c>
      <c r="B6" s="53"/>
      <c r="C6" s="192" t="s">
        <v>845</v>
      </c>
      <c r="D6" s="190"/>
      <c r="E6" s="190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</row>
    <row r="7" spans="1:8" s="4" customFormat="1" ht="25.5" customHeight="1">
      <c r="A7" s="391" t="s">
        <v>852</v>
      </c>
      <c r="B7" s="391"/>
      <c r="C7" s="386"/>
      <c r="D7" s="386"/>
      <c r="E7" s="386"/>
      <c r="F7" s="386"/>
      <c r="G7" s="386"/>
      <c r="H7" s="386"/>
    </row>
    <row r="8" spans="1:16" ht="19.5" customHeight="1">
      <c r="A8" s="53" t="s">
        <v>479</v>
      </c>
      <c r="B8" s="59"/>
      <c r="C8" s="189"/>
      <c r="D8" s="190"/>
      <c r="E8" s="190"/>
      <c r="F8" s="191"/>
      <c r="G8" s="191"/>
      <c r="H8" s="191"/>
      <c r="I8" s="191"/>
      <c r="J8" s="191"/>
      <c r="K8" s="191"/>
      <c r="L8" s="191"/>
      <c r="M8" s="427" t="s">
        <v>47</v>
      </c>
      <c r="N8" s="427"/>
      <c r="O8" s="428">
        <f>P71</f>
        <v>0</v>
      </c>
      <c r="P8" s="428"/>
    </row>
    <row r="9" spans="1:16" ht="15" customHeight="1">
      <c r="A9" s="193"/>
      <c r="B9" s="193"/>
      <c r="C9" s="194"/>
      <c r="D9" s="195"/>
      <c r="E9" s="196"/>
      <c r="F9" s="197"/>
      <c r="G9" s="451"/>
      <c r="H9" s="451"/>
      <c r="I9" s="197"/>
      <c r="J9" s="197"/>
      <c r="K9" s="196"/>
      <c r="L9" s="280"/>
      <c r="M9" s="196"/>
      <c r="N9" s="197"/>
      <c r="O9" s="197"/>
      <c r="P9" s="197"/>
    </row>
    <row r="10" spans="1:16" ht="19.5" customHeight="1">
      <c r="A10" s="429" t="s">
        <v>4</v>
      </c>
      <c r="B10" s="429" t="s">
        <v>48</v>
      </c>
      <c r="C10" s="430" t="s">
        <v>49</v>
      </c>
      <c r="D10" s="429" t="s">
        <v>50</v>
      </c>
      <c r="E10" s="429" t="s">
        <v>51</v>
      </c>
      <c r="F10" s="431" t="s">
        <v>52</v>
      </c>
      <c r="G10" s="431"/>
      <c r="H10" s="431"/>
      <c r="I10" s="431"/>
      <c r="J10" s="431"/>
      <c r="K10" s="431"/>
      <c r="L10" s="431" t="s">
        <v>53</v>
      </c>
      <c r="M10" s="431"/>
      <c r="N10" s="431"/>
      <c r="O10" s="431"/>
      <c r="P10" s="431"/>
    </row>
    <row r="11" spans="1:16" ht="99.75" customHeight="1">
      <c r="A11" s="429"/>
      <c r="B11" s="429"/>
      <c r="C11" s="430"/>
      <c r="D11" s="429"/>
      <c r="E11" s="429"/>
      <c r="F11" s="26" t="s">
        <v>54</v>
      </c>
      <c r="G11" s="26" t="s">
        <v>55</v>
      </c>
      <c r="H11" s="26" t="s">
        <v>56</v>
      </c>
      <c r="I11" s="26" t="s">
        <v>57</v>
      </c>
      <c r="J11" s="26" t="s">
        <v>58</v>
      </c>
      <c r="K11" s="26" t="s">
        <v>59</v>
      </c>
      <c r="L11" s="26" t="s">
        <v>60</v>
      </c>
      <c r="M11" s="26" t="s">
        <v>56</v>
      </c>
      <c r="N11" s="26" t="s">
        <v>57</v>
      </c>
      <c r="O11" s="26" t="s">
        <v>58</v>
      </c>
      <c r="P11" s="26" t="s">
        <v>61</v>
      </c>
    </row>
    <row r="12" spans="1:16" s="207" customFormat="1" ht="47.25" customHeight="1">
      <c r="A12" s="198"/>
      <c r="B12" s="200"/>
      <c r="C12" s="283" t="s">
        <v>480</v>
      </c>
      <c r="D12" s="202"/>
      <c r="E12" s="284"/>
      <c r="F12" s="285"/>
      <c r="G12" s="286"/>
      <c r="H12" s="287"/>
      <c r="I12" s="287"/>
      <c r="J12" s="287"/>
      <c r="K12" s="287"/>
      <c r="L12" s="287"/>
      <c r="M12" s="287"/>
      <c r="N12" s="287"/>
      <c r="O12" s="287"/>
      <c r="P12" s="287"/>
    </row>
    <row r="13" spans="1:16" s="207" customFormat="1" ht="47.25" customHeight="1">
      <c r="A13" s="198">
        <v>1</v>
      </c>
      <c r="B13" s="200" t="s">
        <v>481</v>
      </c>
      <c r="C13" s="233" t="s">
        <v>482</v>
      </c>
      <c r="D13" s="202" t="s">
        <v>483</v>
      </c>
      <c r="E13" s="203">
        <v>1</v>
      </c>
      <c r="F13" s="204"/>
      <c r="G13" s="205"/>
      <c r="H13" s="205"/>
      <c r="I13" s="205"/>
      <c r="J13" s="205"/>
      <c r="K13" s="205"/>
      <c r="L13" s="205"/>
      <c r="M13" s="205"/>
      <c r="N13" s="205"/>
      <c r="O13" s="205"/>
      <c r="P13" s="205"/>
    </row>
    <row r="14" spans="1:17" s="207" customFormat="1" ht="47.25" customHeight="1">
      <c r="A14" s="198">
        <v>2</v>
      </c>
      <c r="B14" s="200" t="s">
        <v>484</v>
      </c>
      <c r="C14" s="233" t="s">
        <v>485</v>
      </c>
      <c r="D14" s="202" t="s">
        <v>483</v>
      </c>
      <c r="E14" s="203">
        <v>1</v>
      </c>
      <c r="F14" s="204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88"/>
    </row>
    <row r="15" spans="1:17" s="207" customFormat="1" ht="47.25" customHeight="1">
      <c r="A15" s="198">
        <v>3</v>
      </c>
      <c r="B15" s="200" t="s">
        <v>486</v>
      </c>
      <c r="C15" s="233" t="s">
        <v>487</v>
      </c>
      <c r="D15" s="202" t="s">
        <v>483</v>
      </c>
      <c r="E15" s="203">
        <v>1</v>
      </c>
      <c r="F15" s="204"/>
      <c r="G15" s="205"/>
      <c r="H15" s="205"/>
      <c r="I15" s="205"/>
      <c r="J15" s="232"/>
      <c r="K15" s="205"/>
      <c r="L15" s="205"/>
      <c r="M15" s="205"/>
      <c r="N15" s="205"/>
      <c r="O15" s="205"/>
      <c r="P15" s="205"/>
      <c r="Q15" s="288"/>
    </row>
    <row r="16" spans="1:17" s="207" customFormat="1" ht="47.25" customHeight="1">
      <c r="A16" s="198">
        <v>4</v>
      </c>
      <c r="B16" s="200" t="s">
        <v>488</v>
      </c>
      <c r="C16" s="233" t="s">
        <v>489</v>
      </c>
      <c r="D16" s="202" t="s">
        <v>64</v>
      </c>
      <c r="E16" s="203">
        <v>1</v>
      </c>
      <c r="F16" s="204"/>
      <c r="G16" s="205"/>
      <c r="H16" s="205"/>
      <c r="I16" s="206"/>
      <c r="J16" s="205"/>
      <c r="K16" s="205"/>
      <c r="L16" s="205"/>
      <c r="M16" s="205"/>
      <c r="N16" s="205"/>
      <c r="O16" s="205"/>
      <c r="P16" s="205"/>
      <c r="Q16" s="288"/>
    </row>
    <row r="17" spans="1:17" s="207" customFormat="1" ht="47.25" customHeight="1">
      <c r="A17" s="198">
        <v>5</v>
      </c>
      <c r="B17" s="200" t="s">
        <v>490</v>
      </c>
      <c r="C17" s="233" t="s">
        <v>491</v>
      </c>
      <c r="D17" s="202" t="s">
        <v>483</v>
      </c>
      <c r="E17" s="203">
        <v>1</v>
      </c>
      <c r="F17" s="204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88"/>
    </row>
    <row r="18" spans="1:17" s="207" customFormat="1" ht="47.25" customHeight="1">
      <c r="A18" s="198">
        <v>6</v>
      </c>
      <c r="B18" s="200" t="s">
        <v>492</v>
      </c>
      <c r="C18" s="233" t="s">
        <v>493</v>
      </c>
      <c r="D18" s="202" t="s">
        <v>64</v>
      </c>
      <c r="E18" s="203">
        <v>1</v>
      </c>
      <c r="F18" s="204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88"/>
    </row>
    <row r="19" spans="1:16" s="207" customFormat="1" ht="47.25" customHeight="1">
      <c r="A19" s="198">
        <v>7</v>
      </c>
      <c r="B19" s="200" t="s">
        <v>494</v>
      </c>
      <c r="C19" s="233" t="s">
        <v>495</v>
      </c>
      <c r="D19" s="202" t="s">
        <v>64</v>
      </c>
      <c r="E19" s="203">
        <v>1</v>
      </c>
      <c r="F19" s="204"/>
      <c r="G19" s="205"/>
      <c r="H19" s="205"/>
      <c r="I19" s="205"/>
      <c r="J19" s="205"/>
      <c r="K19" s="205"/>
      <c r="L19" s="205"/>
      <c r="M19" s="205"/>
      <c r="N19" s="205"/>
      <c r="O19" s="205"/>
      <c r="P19" s="205"/>
    </row>
    <row r="20" spans="1:16" s="207" customFormat="1" ht="47.25" customHeight="1">
      <c r="A20" s="198">
        <v>8</v>
      </c>
      <c r="B20" s="200" t="s">
        <v>496</v>
      </c>
      <c r="C20" s="233" t="s">
        <v>497</v>
      </c>
      <c r="D20" s="202" t="s">
        <v>64</v>
      </c>
      <c r="E20" s="203">
        <v>1</v>
      </c>
      <c r="F20" s="204"/>
      <c r="G20" s="205"/>
      <c r="H20" s="205"/>
      <c r="I20" s="205"/>
      <c r="J20" s="205"/>
      <c r="K20" s="205"/>
      <c r="L20" s="205"/>
      <c r="M20" s="205"/>
      <c r="N20" s="205"/>
      <c r="O20" s="205"/>
      <c r="P20" s="205"/>
    </row>
    <row r="21" spans="1:16" s="207" customFormat="1" ht="47.25" customHeight="1">
      <c r="A21" s="198">
        <v>9</v>
      </c>
      <c r="B21" s="200" t="s">
        <v>498</v>
      </c>
      <c r="C21" s="233" t="s">
        <v>499</v>
      </c>
      <c r="D21" s="202" t="s">
        <v>64</v>
      </c>
      <c r="E21" s="203">
        <v>1</v>
      </c>
      <c r="F21" s="204"/>
      <c r="G21" s="205"/>
      <c r="H21" s="205"/>
      <c r="I21" s="205"/>
      <c r="J21" s="205"/>
      <c r="K21" s="205"/>
      <c r="L21" s="205"/>
      <c r="M21" s="205"/>
      <c r="N21" s="205"/>
      <c r="O21" s="205"/>
      <c r="P21" s="205"/>
    </row>
    <row r="22" spans="1:16" s="207" customFormat="1" ht="47.25" customHeight="1">
      <c r="A22" s="198">
        <v>10</v>
      </c>
      <c r="B22" s="200" t="s">
        <v>500</v>
      </c>
      <c r="C22" s="233" t="s">
        <v>501</v>
      </c>
      <c r="D22" s="202" t="s">
        <v>64</v>
      </c>
      <c r="E22" s="203">
        <v>1</v>
      </c>
      <c r="F22" s="204"/>
      <c r="G22" s="205"/>
      <c r="H22" s="205"/>
      <c r="I22" s="205"/>
      <c r="J22" s="205"/>
      <c r="K22" s="205"/>
      <c r="L22" s="205"/>
      <c r="M22" s="205"/>
      <c r="N22" s="205"/>
      <c r="O22" s="205"/>
      <c r="P22" s="205"/>
    </row>
    <row r="23" spans="1:16" s="207" customFormat="1" ht="47.25" customHeight="1">
      <c r="A23" s="198">
        <v>11</v>
      </c>
      <c r="B23" s="200" t="s">
        <v>502</v>
      </c>
      <c r="C23" s="233" t="s">
        <v>503</v>
      </c>
      <c r="D23" s="202" t="s">
        <v>64</v>
      </c>
      <c r="E23" s="203">
        <v>2</v>
      </c>
      <c r="F23" s="204"/>
      <c r="G23" s="205"/>
      <c r="H23" s="205"/>
      <c r="I23" s="205"/>
      <c r="J23" s="205"/>
      <c r="K23" s="205"/>
      <c r="L23" s="205"/>
      <c r="M23" s="205"/>
      <c r="N23" s="205"/>
      <c r="O23" s="205"/>
      <c r="P23" s="205"/>
    </row>
    <row r="24" spans="1:16" s="207" customFormat="1" ht="47.25" customHeight="1">
      <c r="A24" s="198">
        <v>12</v>
      </c>
      <c r="B24" s="200" t="s">
        <v>504</v>
      </c>
      <c r="C24" s="233" t="s">
        <v>505</v>
      </c>
      <c r="D24" s="202" t="s">
        <v>64</v>
      </c>
      <c r="E24" s="203">
        <v>2</v>
      </c>
      <c r="F24" s="204"/>
      <c r="G24" s="205"/>
      <c r="H24" s="205"/>
      <c r="I24" s="205"/>
      <c r="J24" s="205"/>
      <c r="K24" s="205"/>
      <c r="L24" s="205"/>
      <c r="M24" s="205"/>
      <c r="N24" s="205"/>
      <c r="O24" s="205"/>
      <c r="P24" s="205"/>
    </row>
    <row r="25" spans="1:16" s="207" customFormat="1" ht="47.25" customHeight="1">
      <c r="A25" s="198">
        <v>13</v>
      </c>
      <c r="B25" s="200" t="s">
        <v>506</v>
      </c>
      <c r="C25" s="233" t="s">
        <v>507</v>
      </c>
      <c r="D25" s="202" t="s">
        <v>64</v>
      </c>
      <c r="E25" s="203">
        <v>5</v>
      </c>
      <c r="F25" s="204"/>
      <c r="G25" s="205"/>
      <c r="H25" s="205"/>
      <c r="I25" s="205"/>
      <c r="J25" s="205"/>
      <c r="K25" s="205"/>
      <c r="L25" s="205"/>
      <c r="M25" s="205"/>
      <c r="N25" s="205"/>
      <c r="O25" s="205"/>
      <c r="P25" s="205"/>
    </row>
    <row r="26" spans="1:16" s="207" customFormat="1" ht="47.25" customHeight="1">
      <c r="A26" s="198">
        <v>14</v>
      </c>
      <c r="B26" s="200" t="s">
        <v>508</v>
      </c>
      <c r="C26" s="233" t="s">
        <v>509</v>
      </c>
      <c r="D26" s="202" t="s">
        <v>64</v>
      </c>
      <c r="E26" s="203">
        <v>1</v>
      </c>
      <c r="F26" s="204"/>
      <c r="G26" s="205"/>
      <c r="H26" s="205"/>
      <c r="I26" s="205"/>
      <c r="J26" s="205"/>
      <c r="K26" s="205"/>
      <c r="L26" s="205"/>
      <c r="M26" s="205"/>
      <c r="N26" s="205"/>
      <c r="O26" s="205"/>
      <c r="P26" s="205"/>
    </row>
    <row r="27" spans="1:16" s="207" customFormat="1" ht="47.25" customHeight="1">
      <c r="A27" s="198">
        <v>15</v>
      </c>
      <c r="B27" s="200" t="s">
        <v>510</v>
      </c>
      <c r="C27" s="233" t="s">
        <v>511</v>
      </c>
      <c r="D27" s="202" t="s">
        <v>420</v>
      </c>
      <c r="E27" s="173">
        <v>1</v>
      </c>
      <c r="F27" s="66"/>
      <c r="G27" s="205"/>
      <c r="H27" s="67"/>
      <c r="I27" s="289"/>
      <c r="J27" s="67"/>
      <c r="K27" s="67"/>
      <c r="L27" s="67"/>
      <c r="M27" s="67"/>
      <c r="N27" s="67"/>
      <c r="O27" s="67"/>
      <c r="P27" s="205"/>
    </row>
    <row r="28" spans="1:16" s="207" customFormat="1" ht="47.25" customHeight="1">
      <c r="A28" s="198">
        <v>16</v>
      </c>
      <c r="B28" s="200" t="s">
        <v>512</v>
      </c>
      <c r="C28" s="233" t="s">
        <v>513</v>
      </c>
      <c r="D28" s="202" t="s">
        <v>420</v>
      </c>
      <c r="E28" s="203">
        <v>24</v>
      </c>
      <c r="F28" s="287"/>
      <c r="G28" s="205"/>
      <c r="H28" s="205"/>
      <c r="I28" s="205"/>
      <c r="J28" s="205"/>
      <c r="K28" s="205"/>
      <c r="L28" s="205"/>
      <c r="M28" s="205"/>
      <c r="N28" s="205"/>
      <c r="O28" s="205"/>
      <c r="P28" s="205"/>
    </row>
    <row r="29" spans="1:16" s="207" customFormat="1" ht="47.25" customHeight="1">
      <c r="A29" s="198">
        <v>17</v>
      </c>
      <c r="B29" s="200" t="s">
        <v>514</v>
      </c>
      <c r="C29" s="233" t="s">
        <v>515</v>
      </c>
      <c r="D29" s="202" t="s">
        <v>420</v>
      </c>
      <c r="E29" s="203">
        <v>3</v>
      </c>
      <c r="F29" s="204"/>
      <c r="G29" s="205"/>
      <c r="H29" s="205"/>
      <c r="I29" s="205"/>
      <c r="J29" s="205"/>
      <c r="K29" s="205"/>
      <c r="L29" s="205"/>
      <c r="M29" s="205"/>
      <c r="N29" s="205"/>
      <c r="O29" s="205"/>
      <c r="P29" s="205"/>
    </row>
    <row r="30" spans="1:16" s="207" customFormat="1" ht="47.25" customHeight="1">
      <c r="A30" s="198">
        <v>18</v>
      </c>
      <c r="B30" s="200" t="s">
        <v>516</v>
      </c>
      <c r="C30" s="233" t="s">
        <v>517</v>
      </c>
      <c r="D30" s="202" t="s">
        <v>420</v>
      </c>
      <c r="E30" s="203">
        <v>3</v>
      </c>
      <c r="F30" s="204"/>
      <c r="G30" s="205"/>
      <c r="H30" s="205"/>
      <c r="I30" s="205"/>
      <c r="J30" s="205"/>
      <c r="K30" s="205"/>
      <c r="L30" s="205"/>
      <c r="M30" s="205"/>
      <c r="N30" s="205"/>
      <c r="O30" s="205"/>
      <c r="P30" s="205"/>
    </row>
    <row r="31" spans="1:16" s="207" customFormat="1" ht="47.25" customHeight="1">
      <c r="A31" s="198">
        <v>19</v>
      </c>
      <c r="B31" s="200" t="s">
        <v>518</v>
      </c>
      <c r="C31" s="233" t="s">
        <v>519</v>
      </c>
      <c r="D31" s="202" t="s">
        <v>420</v>
      </c>
      <c r="E31" s="203">
        <v>6</v>
      </c>
      <c r="F31" s="204"/>
      <c r="G31" s="205"/>
      <c r="H31" s="205"/>
      <c r="I31" s="206"/>
      <c r="J31" s="205"/>
      <c r="K31" s="205"/>
      <c r="L31" s="205"/>
      <c r="M31" s="205"/>
      <c r="N31" s="205"/>
      <c r="O31" s="205"/>
      <c r="P31" s="205"/>
    </row>
    <row r="32" spans="1:16" s="207" customFormat="1" ht="47.25" customHeight="1">
      <c r="A32" s="198">
        <v>20</v>
      </c>
      <c r="B32" s="200" t="s">
        <v>520</v>
      </c>
      <c r="C32" s="233" t="s">
        <v>521</v>
      </c>
      <c r="D32" s="202" t="s">
        <v>420</v>
      </c>
      <c r="E32" s="203">
        <v>15</v>
      </c>
      <c r="F32" s="204"/>
      <c r="G32" s="205"/>
      <c r="H32" s="205"/>
      <c r="I32" s="206"/>
      <c r="J32" s="205"/>
      <c r="K32" s="205"/>
      <c r="L32" s="205"/>
      <c r="M32" s="205"/>
      <c r="N32" s="205"/>
      <c r="O32" s="205"/>
      <c r="P32" s="205"/>
    </row>
    <row r="33" spans="1:16" s="207" customFormat="1" ht="47.25" customHeight="1">
      <c r="A33" s="198">
        <v>21</v>
      </c>
      <c r="B33" s="200" t="s">
        <v>522</v>
      </c>
      <c r="C33" s="233" t="s">
        <v>523</v>
      </c>
      <c r="D33" s="202" t="s">
        <v>483</v>
      </c>
      <c r="E33" s="203">
        <v>1</v>
      </c>
      <c r="F33" s="204"/>
      <c r="G33" s="205"/>
      <c r="H33" s="205"/>
      <c r="I33" s="205"/>
      <c r="J33" s="205"/>
      <c r="K33" s="205"/>
      <c r="L33" s="205"/>
      <c r="M33" s="205"/>
      <c r="N33" s="205"/>
      <c r="O33" s="205"/>
      <c r="P33" s="205"/>
    </row>
    <row r="34" spans="1:16" s="207" customFormat="1" ht="47.25" customHeight="1">
      <c r="A34" s="198">
        <v>22</v>
      </c>
      <c r="B34" s="200" t="s">
        <v>524</v>
      </c>
      <c r="C34" s="233" t="s">
        <v>525</v>
      </c>
      <c r="D34" s="202" t="s">
        <v>64</v>
      </c>
      <c r="E34" s="203">
        <v>1</v>
      </c>
      <c r="F34" s="204"/>
      <c r="G34" s="205"/>
      <c r="H34" s="205"/>
      <c r="I34" s="205"/>
      <c r="J34" s="205"/>
      <c r="K34" s="205"/>
      <c r="L34" s="205"/>
      <c r="M34" s="205"/>
      <c r="N34" s="205"/>
      <c r="O34" s="205"/>
      <c r="P34" s="205"/>
    </row>
    <row r="35" spans="1:16" s="207" customFormat="1" ht="47.25" customHeight="1">
      <c r="A35" s="198">
        <v>23</v>
      </c>
      <c r="B35" s="200" t="s">
        <v>526</v>
      </c>
      <c r="C35" s="233" t="s">
        <v>527</v>
      </c>
      <c r="D35" s="202" t="s">
        <v>64</v>
      </c>
      <c r="E35" s="203">
        <v>1</v>
      </c>
      <c r="F35" s="204"/>
      <c r="G35" s="205"/>
      <c r="H35" s="205"/>
      <c r="I35" s="205"/>
      <c r="J35" s="205"/>
      <c r="K35" s="205"/>
      <c r="L35" s="205"/>
      <c r="M35" s="205"/>
      <c r="N35" s="205"/>
      <c r="O35" s="205"/>
      <c r="P35" s="205"/>
    </row>
    <row r="36" spans="1:16" s="207" customFormat="1" ht="47.25" customHeight="1">
      <c r="A36" s="198">
        <v>24</v>
      </c>
      <c r="B36" s="200" t="s">
        <v>528</v>
      </c>
      <c r="C36" s="233" t="s">
        <v>529</v>
      </c>
      <c r="D36" s="202" t="s">
        <v>447</v>
      </c>
      <c r="E36" s="203">
        <v>4.5</v>
      </c>
      <c r="F36" s="204"/>
      <c r="G36" s="205"/>
      <c r="H36" s="205"/>
      <c r="I36" s="205"/>
      <c r="J36" s="205"/>
      <c r="K36" s="205"/>
      <c r="L36" s="205"/>
      <c r="M36" s="205"/>
      <c r="N36" s="205"/>
      <c r="O36" s="205"/>
      <c r="P36" s="205"/>
    </row>
    <row r="37" spans="1:16" s="207" customFormat="1" ht="47.25" customHeight="1">
      <c r="A37" s="198">
        <v>25</v>
      </c>
      <c r="B37" s="200" t="s">
        <v>530</v>
      </c>
      <c r="C37" s="233" t="s">
        <v>531</v>
      </c>
      <c r="D37" s="202" t="s">
        <v>483</v>
      </c>
      <c r="E37" s="203">
        <v>1</v>
      </c>
      <c r="F37" s="204"/>
      <c r="G37" s="205"/>
      <c r="H37" s="205"/>
      <c r="I37" s="206"/>
      <c r="J37" s="205"/>
      <c r="K37" s="205"/>
      <c r="L37" s="205"/>
      <c r="M37" s="205"/>
      <c r="N37" s="205"/>
      <c r="O37" s="205"/>
      <c r="P37" s="205"/>
    </row>
    <row r="38" spans="1:16" s="207" customFormat="1" ht="47.25" customHeight="1">
      <c r="A38" s="198">
        <v>26</v>
      </c>
      <c r="B38" s="200"/>
      <c r="C38" s="283" t="s">
        <v>532</v>
      </c>
      <c r="D38" s="202"/>
      <c r="E38" s="203"/>
      <c r="F38" s="204"/>
      <c r="G38" s="205"/>
      <c r="H38" s="205"/>
      <c r="I38" s="205"/>
      <c r="J38" s="205"/>
      <c r="K38" s="205"/>
      <c r="L38" s="205"/>
      <c r="M38" s="205"/>
      <c r="N38" s="205"/>
      <c r="O38" s="205"/>
      <c r="P38" s="205"/>
    </row>
    <row r="39" spans="1:16" s="207" customFormat="1" ht="47.25" customHeight="1">
      <c r="A39" s="198">
        <v>27</v>
      </c>
      <c r="B39" s="200" t="s">
        <v>533</v>
      </c>
      <c r="C39" s="233" t="s">
        <v>534</v>
      </c>
      <c r="D39" s="202" t="s">
        <v>64</v>
      </c>
      <c r="E39" s="203">
        <v>1</v>
      </c>
      <c r="F39" s="204"/>
      <c r="G39" s="205"/>
      <c r="H39" s="205"/>
      <c r="I39" s="205"/>
      <c r="J39" s="205"/>
      <c r="K39" s="205"/>
      <c r="L39" s="205"/>
      <c r="M39" s="205"/>
      <c r="N39" s="205"/>
      <c r="O39" s="205"/>
      <c r="P39" s="205"/>
    </row>
    <row r="40" spans="1:16" s="207" customFormat="1" ht="47.25" customHeight="1">
      <c r="A40" s="198">
        <v>28</v>
      </c>
      <c r="B40" s="200" t="s">
        <v>535</v>
      </c>
      <c r="C40" s="233" t="s">
        <v>536</v>
      </c>
      <c r="D40" s="202" t="s">
        <v>64</v>
      </c>
      <c r="E40" s="203">
        <v>1</v>
      </c>
      <c r="F40" s="204"/>
      <c r="G40" s="205"/>
      <c r="H40" s="205"/>
      <c r="I40" s="205"/>
      <c r="J40" s="205"/>
      <c r="K40" s="205"/>
      <c r="L40" s="205"/>
      <c r="M40" s="205"/>
      <c r="N40" s="205"/>
      <c r="O40" s="205"/>
      <c r="P40" s="205"/>
    </row>
    <row r="41" spans="1:16" s="207" customFormat="1" ht="47.25" customHeight="1">
      <c r="A41" s="198">
        <v>29</v>
      </c>
      <c r="B41" s="200" t="s">
        <v>537</v>
      </c>
      <c r="C41" s="233" t="s">
        <v>538</v>
      </c>
      <c r="D41" s="202" t="s">
        <v>64</v>
      </c>
      <c r="E41" s="203">
        <v>1</v>
      </c>
      <c r="F41" s="204"/>
      <c r="G41" s="205"/>
      <c r="H41" s="205"/>
      <c r="I41" s="205"/>
      <c r="J41" s="205"/>
      <c r="K41" s="205"/>
      <c r="L41" s="205"/>
      <c r="M41" s="205"/>
      <c r="N41" s="205"/>
      <c r="O41" s="205"/>
      <c r="P41" s="205"/>
    </row>
    <row r="42" spans="1:16" s="207" customFormat="1" ht="47.25" customHeight="1">
      <c r="A42" s="198">
        <v>30</v>
      </c>
      <c r="B42" s="200" t="s">
        <v>539</v>
      </c>
      <c r="C42" s="233" t="s">
        <v>501</v>
      </c>
      <c r="D42" s="202" t="s">
        <v>64</v>
      </c>
      <c r="E42" s="203">
        <v>1</v>
      </c>
      <c r="F42" s="204"/>
      <c r="G42" s="205"/>
      <c r="H42" s="205"/>
      <c r="I42" s="205"/>
      <c r="J42" s="205"/>
      <c r="K42" s="205"/>
      <c r="L42" s="205"/>
      <c r="M42" s="205"/>
      <c r="N42" s="205"/>
      <c r="O42" s="205"/>
      <c r="P42" s="205"/>
    </row>
    <row r="43" spans="1:16" s="207" customFormat="1" ht="47.25" customHeight="1">
      <c r="A43" s="198">
        <v>31</v>
      </c>
      <c r="B43" s="200" t="s">
        <v>540</v>
      </c>
      <c r="C43" s="233" t="s">
        <v>541</v>
      </c>
      <c r="D43" s="202" t="s">
        <v>64</v>
      </c>
      <c r="E43" s="203">
        <v>1</v>
      </c>
      <c r="F43" s="204"/>
      <c r="G43" s="205"/>
      <c r="H43" s="205"/>
      <c r="I43" s="205"/>
      <c r="J43" s="205"/>
      <c r="K43" s="205"/>
      <c r="L43" s="205"/>
      <c r="M43" s="205"/>
      <c r="N43" s="205"/>
      <c r="O43" s="205"/>
      <c r="P43" s="205"/>
    </row>
    <row r="44" spans="1:16" s="207" customFormat="1" ht="47.25" customHeight="1">
      <c r="A44" s="198">
        <v>32</v>
      </c>
      <c r="B44" s="200" t="s">
        <v>542</v>
      </c>
      <c r="C44" s="233" t="s">
        <v>505</v>
      </c>
      <c r="D44" s="202" t="s">
        <v>64</v>
      </c>
      <c r="E44" s="203">
        <v>2</v>
      </c>
      <c r="F44" s="204"/>
      <c r="G44" s="205"/>
      <c r="H44" s="205"/>
      <c r="I44" s="205"/>
      <c r="J44" s="205"/>
      <c r="K44" s="205"/>
      <c r="L44" s="205"/>
      <c r="M44" s="205"/>
      <c r="N44" s="205"/>
      <c r="O44" s="205"/>
      <c r="P44" s="205"/>
    </row>
    <row r="45" spans="1:16" s="207" customFormat="1" ht="47.25" customHeight="1">
      <c r="A45" s="198">
        <v>33</v>
      </c>
      <c r="B45" s="200" t="s">
        <v>543</v>
      </c>
      <c r="C45" s="233" t="s">
        <v>507</v>
      </c>
      <c r="D45" s="202" t="s">
        <v>64</v>
      </c>
      <c r="E45" s="203">
        <v>5</v>
      </c>
      <c r="F45" s="204"/>
      <c r="G45" s="205"/>
      <c r="H45" s="205"/>
      <c r="I45" s="205"/>
      <c r="J45" s="205"/>
      <c r="K45" s="205"/>
      <c r="L45" s="205"/>
      <c r="M45" s="205"/>
      <c r="N45" s="205"/>
      <c r="O45" s="205"/>
      <c r="P45" s="205"/>
    </row>
    <row r="46" spans="1:16" s="207" customFormat="1" ht="47.25" customHeight="1">
      <c r="A46" s="198">
        <v>34</v>
      </c>
      <c r="B46" s="200" t="s">
        <v>544</v>
      </c>
      <c r="C46" s="233" t="s">
        <v>513</v>
      </c>
      <c r="D46" s="202" t="s">
        <v>420</v>
      </c>
      <c r="E46" s="203">
        <v>12</v>
      </c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</row>
    <row r="47" spans="1:16" s="207" customFormat="1" ht="47.25" customHeight="1">
      <c r="A47" s="198">
        <v>35</v>
      </c>
      <c r="B47" s="200" t="s">
        <v>545</v>
      </c>
      <c r="C47" s="233" t="s">
        <v>515</v>
      </c>
      <c r="D47" s="202" t="s">
        <v>420</v>
      </c>
      <c r="E47" s="203">
        <v>6</v>
      </c>
      <c r="F47" s="204"/>
      <c r="G47" s="205"/>
      <c r="H47" s="205"/>
      <c r="I47" s="205"/>
      <c r="J47" s="205"/>
      <c r="K47" s="205"/>
      <c r="L47" s="205"/>
      <c r="M47" s="205"/>
      <c r="N47" s="205"/>
      <c r="O47" s="205"/>
      <c r="P47" s="205"/>
    </row>
    <row r="48" spans="1:16" s="207" customFormat="1" ht="47.25" customHeight="1">
      <c r="A48" s="198">
        <v>36</v>
      </c>
      <c r="B48" s="200" t="s">
        <v>546</v>
      </c>
      <c r="C48" s="233" t="s">
        <v>517</v>
      </c>
      <c r="D48" s="202" t="s">
        <v>420</v>
      </c>
      <c r="E48" s="203">
        <v>4</v>
      </c>
      <c r="F48" s="204"/>
      <c r="G48" s="205"/>
      <c r="H48" s="205"/>
      <c r="I48" s="205"/>
      <c r="J48" s="205"/>
      <c r="K48" s="205"/>
      <c r="L48" s="205"/>
      <c r="M48" s="205"/>
      <c r="N48" s="205"/>
      <c r="O48" s="205"/>
      <c r="P48" s="205"/>
    </row>
    <row r="49" spans="1:16" s="207" customFormat="1" ht="47.25" customHeight="1">
      <c r="A49" s="198">
        <v>37</v>
      </c>
      <c r="B49" s="200" t="s">
        <v>547</v>
      </c>
      <c r="C49" s="233" t="s">
        <v>519</v>
      </c>
      <c r="D49" s="202" t="s">
        <v>420</v>
      </c>
      <c r="E49" s="203">
        <v>8</v>
      </c>
      <c r="F49" s="204"/>
      <c r="G49" s="205"/>
      <c r="H49" s="205"/>
      <c r="I49" s="206"/>
      <c r="J49" s="205"/>
      <c r="K49" s="205"/>
      <c r="L49" s="205"/>
      <c r="M49" s="205"/>
      <c r="N49" s="205"/>
      <c r="O49" s="205"/>
      <c r="P49" s="205"/>
    </row>
    <row r="50" spans="1:16" s="207" customFormat="1" ht="47.25" customHeight="1">
      <c r="A50" s="198">
        <v>38</v>
      </c>
      <c r="B50" s="200" t="s">
        <v>548</v>
      </c>
      <c r="C50" s="233" t="s">
        <v>521</v>
      </c>
      <c r="D50" s="202" t="s">
        <v>420</v>
      </c>
      <c r="E50" s="203">
        <v>10</v>
      </c>
      <c r="F50" s="204"/>
      <c r="G50" s="205"/>
      <c r="H50" s="205"/>
      <c r="I50" s="206"/>
      <c r="J50" s="205"/>
      <c r="K50" s="205"/>
      <c r="L50" s="205"/>
      <c r="M50" s="205"/>
      <c r="N50" s="205"/>
      <c r="O50" s="205"/>
      <c r="P50" s="205"/>
    </row>
    <row r="51" spans="1:16" s="207" customFormat="1" ht="47.25" customHeight="1">
      <c r="A51" s="198">
        <v>39</v>
      </c>
      <c r="B51" s="200" t="s">
        <v>549</v>
      </c>
      <c r="C51" s="233" t="s">
        <v>523</v>
      </c>
      <c r="D51" s="202" t="s">
        <v>483</v>
      </c>
      <c r="E51" s="203">
        <v>1</v>
      </c>
      <c r="F51" s="204"/>
      <c r="G51" s="205"/>
      <c r="H51" s="205"/>
      <c r="I51" s="206"/>
      <c r="J51" s="205"/>
      <c r="K51" s="205"/>
      <c r="L51" s="205"/>
      <c r="M51" s="205"/>
      <c r="N51" s="205"/>
      <c r="O51" s="205"/>
      <c r="P51" s="205"/>
    </row>
    <row r="52" spans="1:16" s="207" customFormat="1" ht="47.25" customHeight="1">
      <c r="A52" s="198">
        <v>40</v>
      </c>
      <c r="B52" s="200" t="s">
        <v>550</v>
      </c>
      <c r="C52" s="233" t="s">
        <v>525</v>
      </c>
      <c r="D52" s="202" t="s">
        <v>64</v>
      </c>
      <c r="E52" s="203">
        <v>1</v>
      </c>
      <c r="F52" s="204"/>
      <c r="G52" s="205"/>
      <c r="H52" s="205"/>
      <c r="I52" s="206"/>
      <c r="J52" s="205"/>
      <c r="K52" s="205"/>
      <c r="L52" s="205"/>
      <c r="M52" s="205"/>
      <c r="N52" s="205"/>
      <c r="O52" s="205"/>
      <c r="P52" s="205"/>
    </row>
    <row r="53" spans="1:16" s="207" customFormat="1" ht="47.25" customHeight="1">
      <c r="A53" s="198">
        <v>41</v>
      </c>
      <c r="B53" s="200" t="s">
        <v>551</v>
      </c>
      <c r="C53" s="233" t="s">
        <v>527</v>
      </c>
      <c r="D53" s="202" t="s">
        <v>64</v>
      </c>
      <c r="E53" s="203">
        <v>1</v>
      </c>
      <c r="F53" s="204"/>
      <c r="G53" s="205"/>
      <c r="H53" s="205"/>
      <c r="I53" s="206"/>
      <c r="J53" s="205"/>
      <c r="K53" s="205"/>
      <c r="L53" s="205"/>
      <c r="M53" s="205"/>
      <c r="N53" s="205"/>
      <c r="O53" s="205"/>
      <c r="P53" s="205"/>
    </row>
    <row r="54" spans="1:16" s="207" customFormat="1" ht="47.25" customHeight="1">
      <c r="A54" s="198">
        <v>42</v>
      </c>
      <c r="B54" s="200" t="s">
        <v>552</v>
      </c>
      <c r="C54" s="233" t="s">
        <v>553</v>
      </c>
      <c r="D54" s="202" t="s">
        <v>447</v>
      </c>
      <c r="E54" s="203">
        <v>1.5</v>
      </c>
      <c r="F54" s="204"/>
      <c r="G54" s="205"/>
      <c r="H54" s="205"/>
      <c r="I54" s="205"/>
      <c r="J54" s="205"/>
      <c r="K54" s="205"/>
      <c r="L54" s="205"/>
      <c r="M54" s="205"/>
      <c r="N54" s="205"/>
      <c r="O54" s="205"/>
      <c r="P54" s="205"/>
    </row>
    <row r="55" spans="1:61" s="290" customFormat="1" ht="47.25" customHeight="1">
      <c r="A55" s="198">
        <v>43</v>
      </c>
      <c r="B55" s="200" t="s">
        <v>554</v>
      </c>
      <c r="C55" s="233" t="s">
        <v>531</v>
      </c>
      <c r="D55" s="202" t="s">
        <v>483</v>
      </c>
      <c r="E55" s="203">
        <v>1</v>
      </c>
      <c r="F55" s="204"/>
      <c r="G55" s="205"/>
      <c r="H55" s="205"/>
      <c r="I55" s="206"/>
      <c r="J55" s="205"/>
      <c r="K55" s="205"/>
      <c r="L55" s="205"/>
      <c r="M55" s="205"/>
      <c r="N55" s="205"/>
      <c r="O55" s="205"/>
      <c r="P55" s="205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</row>
    <row r="56" spans="1:16" s="207" customFormat="1" ht="47.25" customHeight="1">
      <c r="A56" s="198">
        <v>44</v>
      </c>
      <c r="B56" s="198"/>
      <c r="C56" s="283" t="s">
        <v>555</v>
      </c>
      <c r="D56" s="202"/>
      <c r="E56" s="203"/>
      <c r="F56" s="204"/>
      <c r="G56" s="205"/>
      <c r="H56" s="205"/>
      <c r="I56" s="205"/>
      <c r="J56" s="205"/>
      <c r="K56" s="205"/>
      <c r="L56" s="205"/>
      <c r="M56" s="205"/>
      <c r="N56" s="205"/>
      <c r="O56" s="205"/>
      <c r="P56" s="205"/>
    </row>
    <row r="57" spans="1:16" s="207" customFormat="1" ht="47.25" customHeight="1">
      <c r="A57" s="198">
        <v>45</v>
      </c>
      <c r="B57" s="200" t="s">
        <v>556</v>
      </c>
      <c r="C57" s="233" t="s">
        <v>557</v>
      </c>
      <c r="D57" s="202" t="s">
        <v>64</v>
      </c>
      <c r="E57" s="203">
        <v>2</v>
      </c>
      <c r="F57" s="204"/>
      <c r="G57" s="205"/>
      <c r="H57" s="205"/>
      <c r="I57" s="206"/>
      <c r="J57" s="205"/>
      <c r="K57" s="205"/>
      <c r="L57" s="205"/>
      <c r="M57" s="205"/>
      <c r="N57" s="205"/>
      <c r="O57" s="205"/>
      <c r="P57" s="205"/>
    </row>
    <row r="58" spans="1:16" s="207" customFormat="1" ht="47.25" customHeight="1">
      <c r="A58" s="198">
        <v>46</v>
      </c>
      <c r="B58" s="200" t="s">
        <v>558</v>
      </c>
      <c r="C58" s="233" t="s">
        <v>559</v>
      </c>
      <c r="D58" s="202" t="s">
        <v>64</v>
      </c>
      <c r="E58" s="203">
        <v>1</v>
      </c>
      <c r="F58" s="204"/>
      <c r="G58" s="205"/>
      <c r="H58" s="205"/>
      <c r="I58" s="206"/>
      <c r="J58" s="205"/>
      <c r="K58" s="205"/>
      <c r="L58" s="205"/>
      <c r="M58" s="205"/>
      <c r="N58" s="205"/>
      <c r="O58" s="205"/>
      <c r="P58" s="205"/>
    </row>
    <row r="59" spans="1:16" s="207" customFormat="1" ht="47.25" customHeight="1">
      <c r="A59" s="198">
        <v>47</v>
      </c>
      <c r="B59" s="200" t="s">
        <v>560</v>
      </c>
      <c r="C59" s="233" t="s">
        <v>561</v>
      </c>
      <c r="D59" s="202" t="s">
        <v>420</v>
      </c>
      <c r="E59" s="203">
        <v>6</v>
      </c>
      <c r="F59" s="204"/>
      <c r="G59" s="205"/>
      <c r="H59" s="205"/>
      <c r="I59" s="205"/>
      <c r="J59" s="205"/>
      <c r="K59" s="205"/>
      <c r="L59" s="205"/>
      <c r="M59" s="205"/>
      <c r="N59" s="205"/>
      <c r="O59" s="205"/>
      <c r="P59" s="205"/>
    </row>
    <row r="60" spans="1:16" s="207" customFormat="1" ht="47.25" customHeight="1">
      <c r="A60" s="198">
        <v>48</v>
      </c>
      <c r="B60" s="200" t="s">
        <v>562</v>
      </c>
      <c r="C60" s="233" t="s">
        <v>523</v>
      </c>
      <c r="D60" s="202" t="s">
        <v>483</v>
      </c>
      <c r="E60" s="203">
        <v>1</v>
      </c>
      <c r="F60" s="204"/>
      <c r="G60" s="205"/>
      <c r="H60" s="205"/>
      <c r="I60" s="206"/>
      <c r="J60" s="205"/>
      <c r="K60" s="205"/>
      <c r="L60" s="205"/>
      <c r="M60" s="205"/>
      <c r="N60" s="205"/>
      <c r="O60" s="205"/>
      <c r="P60" s="205"/>
    </row>
    <row r="61" spans="1:16" s="207" customFormat="1" ht="47.25" customHeight="1">
      <c r="A61" s="198">
        <v>49</v>
      </c>
      <c r="B61" s="200" t="s">
        <v>563</v>
      </c>
      <c r="C61" s="233" t="s">
        <v>531</v>
      </c>
      <c r="D61" s="202" t="s">
        <v>483</v>
      </c>
      <c r="E61" s="203">
        <v>1</v>
      </c>
      <c r="F61" s="204"/>
      <c r="G61" s="205"/>
      <c r="H61" s="205"/>
      <c r="I61" s="206"/>
      <c r="J61" s="205"/>
      <c r="K61" s="205"/>
      <c r="L61" s="205"/>
      <c r="M61" s="205"/>
      <c r="N61" s="205"/>
      <c r="O61" s="205"/>
      <c r="P61" s="205"/>
    </row>
    <row r="62" spans="1:17" s="207" customFormat="1" ht="47.25" customHeight="1">
      <c r="A62" s="198">
        <v>50</v>
      </c>
      <c r="B62" s="200"/>
      <c r="C62" s="283" t="s">
        <v>564</v>
      </c>
      <c r="D62" s="202"/>
      <c r="E62" s="203"/>
      <c r="F62" s="204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91"/>
    </row>
    <row r="63" spans="1:17" s="207" customFormat="1" ht="47.25" customHeight="1">
      <c r="A63" s="198">
        <v>51</v>
      </c>
      <c r="B63" s="200" t="s">
        <v>565</v>
      </c>
      <c r="C63" s="233" t="s">
        <v>566</v>
      </c>
      <c r="D63" s="202" t="s">
        <v>64</v>
      </c>
      <c r="E63" s="203">
        <v>1</v>
      </c>
      <c r="F63" s="204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91"/>
    </row>
    <row r="64" spans="1:17" s="207" customFormat="1" ht="47.25" customHeight="1">
      <c r="A64" s="198">
        <v>52</v>
      </c>
      <c r="B64" s="200" t="s">
        <v>567</v>
      </c>
      <c r="C64" s="233" t="s">
        <v>568</v>
      </c>
      <c r="D64" s="202" t="s">
        <v>64</v>
      </c>
      <c r="E64" s="203">
        <v>1</v>
      </c>
      <c r="F64" s="204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91"/>
    </row>
    <row r="65" spans="1:17" s="207" customFormat="1" ht="47.25" customHeight="1">
      <c r="A65" s="198">
        <v>53</v>
      </c>
      <c r="B65" s="200" t="s">
        <v>569</v>
      </c>
      <c r="C65" s="233" t="s">
        <v>570</v>
      </c>
      <c r="D65" s="202" t="s">
        <v>64</v>
      </c>
      <c r="E65" s="203">
        <v>1</v>
      </c>
      <c r="F65" s="204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91"/>
    </row>
    <row r="66" spans="1:17" s="207" customFormat="1" ht="47.25" customHeight="1">
      <c r="A66" s="198">
        <v>54</v>
      </c>
      <c r="B66" s="200" t="s">
        <v>571</v>
      </c>
      <c r="C66" s="233" t="s">
        <v>572</v>
      </c>
      <c r="D66" s="202" t="s">
        <v>483</v>
      </c>
      <c r="E66" s="203">
        <v>1</v>
      </c>
      <c r="F66" s="204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91"/>
    </row>
    <row r="67" spans="1:17" s="207" customFormat="1" ht="47.25" customHeight="1">
      <c r="A67" s="198">
        <v>55</v>
      </c>
      <c r="B67" s="198"/>
      <c r="C67" s="283" t="s">
        <v>573</v>
      </c>
      <c r="D67" s="202"/>
      <c r="E67" s="203"/>
      <c r="F67" s="204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91"/>
    </row>
    <row r="68" spans="1:17" s="207" customFormat="1" ht="47.25" customHeight="1">
      <c r="A68" s="198">
        <v>56</v>
      </c>
      <c r="B68" s="200" t="s">
        <v>574</v>
      </c>
      <c r="C68" s="233" t="s">
        <v>575</v>
      </c>
      <c r="D68" s="202" t="s">
        <v>420</v>
      </c>
      <c r="E68" s="203">
        <v>10</v>
      </c>
      <c r="F68" s="204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91"/>
    </row>
    <row r="69" spans="1:18" s="294" customFormat="1" ht="47.25" customHeight="1">
      <c r="A69" s="209"/>
      <c r="B69" s="209"/>
      <c r="C69" s="28" t="s">
        <v>7</v>
      </c>
      <c r="D69" s="209"/>
      <c r="E69" s="209"/>
      <c r="F69" s="209"/>
      <c r="G69" s="209"/>
      <c r="H69" s="209"/>
      <c r="I69" s="209"/>
      <c r="J69" s="209"/>
      <c r="K69" s="209"/>
      <c r="L69" s="292"/>
      <c r="M69" s="292"/>
      <c r="N69" s="292"/>
      <c r="O69" s="292"/>
      <c r="P69" s="292"/>
      <c r="Q69" s="207"/>
      <c r="R69" s="293"/>
    </row>
    <row r="70" spans="1:17" s="294" customFormat="1" ht="30" customHeight="1">
      <c r="A70" s="211"/>
      <c r="B70" s="211"/>
      <c r="C70" s="418" t="s">
        <v>849</v>
      </c>
      <c r="D70" s="418"/>
      <c r="E70" s="418"/>
      <c r="F70" s="418"/>
      <c r="G70" s="418"/>
      <c r="H70" s="418"/>
      <c r="I70" s="418"/>
      <c r="J70" s="418"/>
      <c r="K70" s="418"/>
      <c r="L70" s="30"/>
      <c r="M70" s="30"/>
      <c r="N70" s="30"/>
      <c r="O70" s="30"/>
      <c r="P70" s="31"/>
      <c r="Q70" s="207"/>
    </row>
    <row r="71" spans="1:18" s="294" customFormat="1" ht="30" customHeight="1">
      <c r="A71" s="211"/>
      <c r="B71" s="211"/>
      <c r="C71" s="433" t="s">
        <v>451</v>
      </c>
      <c r="D71" s="433"/>
      <c r="E71" s="433"/>
      <c r="F71" s="433"/>
      <c r="G71" s="433"/>
      <c r="H71" s="433"/>
      <c r="I71" s="433"/>
      <c r="J71" s="433"/>
      <c r="K71" s="433"/>
      <c r="L71" s="30"/>
      <c r="M71" s="30"/>
      <c r="N71" s="30"/>
      <c r="O71" s="30"/>
      <c r="P71" s="31"/>
      <c r="Q71" s="207"/>
      <c r="R71" s="295"/>
    </row>
    <row r="72" spans="1:17" s="296" customFormat="1" ht="12.75">
      <c r="A72" s="213"/>
      <c r="B72" s="214"/>
      <c r="C72" s="213"/>
      <c r="D72" s="215"/>
      <c r="E72" s="216"/>
      <c r="F72" s="216"/>
      <c r="G72" s="216"/>
      <c r="H72" s="187"/>
      <c r="I72" s="187"/>
      <c r="J72" s="216"/>
      <c r="K72" s="216"/>
      <c r="L72" s="216"/>
      <c r="M72" s="216"/>
      <c r="N72" s="216"/>
      <c r="O72" s="216"/>
      <c r="P72" s="216"/>
      <c r="Q72" s="187"/>
    </row>
    <row r="73" spans="1:17" s="296" customFormat="1" ht="15">
      <c r="A73" s="297"/>
      <c r="B73" s="299"/>
      <c r="C73" s="298"/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16"/>
      <c r="O73" s="216"/>
      <c r="P73" s="216"/>
      <c r="Q73" s="187"/>
    </row>
    <row r="74" spans="1:17" s="296" customFormat="1" ht="15">
      <c r="A74" s="297"/>
      <c r="B74" s="299"/>
      <c r="C74" s="298"/>
      <c r="D74" s="298"/>
      <c r="E74" s="298"/>
      <c r="F74" s="298"/>
      <c r="G74" s="298"/>
      <c r="H74" s="298"/>
      <c r="I74" s="298"/>
      <c r="J74" s="298"/>
      <c r="K74" s="298"/>
      <c r="L74" s="298"/>
      <c r="M74" s="298"/>
      <c r="N74" s="216"/>
      <c r="O74" s="216"/>
      <c r="P74" s="216"/>
      <c r="Q74" s="187"/>
    </row>
    <row r="75" spans="1:17" s="296" customFormat="1" ht="12.75">
      <c r="A75" s="213"/>
      <c r="B75" s="214"/>
      <c r="C75" s="213"/>
      <c r="D75" s="215"/>
      <c r="E75" s="216"/>
      <c r="F75" s="216"/>
      <c r="G75" s="216"/>
      <c r="H75" s="187"/>
      <c r="I75" s="187"/>
      <c r="J75" s="216"/>
      <c r="K75" s="216"/>
      <c r="L75" s="216"/>
      <c r="M75" s="216"/>
      <c r="N75" s="216"/>
      <c r="O75" s="216"/>
      <c r="P75" s="216"/>
      <c r="Q75" s="187"/>
    </row>
    <row r="76" spans="1:17" s="294" customFormat="1" ht="17.25" customHeight="1">
      <c r="A76" s="432" t="s">
        <v>9</v>
      </c>
      <c r="B76" s="432"/>
      <c r="C76" s="218"/>
      <c r="D76" s="207"/>
      <c r="E76" s="219">
        <f>'1-1 (1)'!E21</f>
        <v>0</v>
      </c>
      <c r="F76" s="220"/>
      <c r="G76" s="220"/>
      <c r="H76" s="221"/>
      <c r="I76" s="434" t="s">
        <v>72</v>
      </c>
      <c r="J76" s="434"/>
      <c r="K76" s="220"/>
      <c r="L76" s="220"/>
      <c r="M76" s="220"/>
      <c r="N76" s="219">
        <f>'1-1 (1)'!N21</f>
        <v>0</v>
      </c>
      <c r="O76" s="220"/>
      <c r="P76" s="220"/>
      <c r="Q76" s="207"/>
    </row>
    <row r="77" spans="1:17" s="294" customFormat="1" ht="15">
      <c r="A77" s="217"/>
      <c r="B77" s="217"/>
      <c r="C77" s="435" t="s">
        <v>10</v>
      </c>
      <c r="D77" s="435"/>
      <c r="E77" s="435"/>
      <c r="F77" s="435"/>
      <c r="G77" s="435"/>
      <c r="H77" s="207"/>
      <c r="I77" s="190"/>
      <c r="J77" s="190"/>
      <c r="K77" s="436" t="s">
        <v>10</v>
      </c>
      <c r="L77" s="436"/>
      <c r="M77" s="436"/>
      <c r="N77" s="436"/>
      <c r="O77" s="436"/>
      <c r="P77" s="436"/>
      <c r="Q77" s="207"/>
    </row>
    <row r="78" spans="1:17" s="294" customFormat="1" ht="15">
      <c r="A78" s="217"/>
      <c r="B78" s="217"/>
      <c r="C78" s="217"/>
      <c r="D78" s="222"/>
      <c r="E78" s="223"/>
      <c r="F78" s="223"/>
      <c r="G78" s="223"/>
      <c r="H78" s="207"/>
      <c r="I78" s="207"/>
      <c r="J78" s="223"/>
      <c r="K78" s="223"/>
      <c r="L78" s="223"/>
      <c r="M78" s="223"/>
      <c r="N78" s="223"/>
      <c r="O78" s="223"/>
      <c r="P78" s="223"/>
      <c r="Q78" s="207"/>
    </row>
    <row r="79" spans="1:17" s="294" customFormat="1" ht="15.75">
      <c r="A79" s="87"/>
      <c r="B79" s="217"/>
      <c r="C79" s="87"/>
      <c r="D79" s="224"/>
      <c r="E79" s="223"/>
      <c r="F79" s="223"/>
      <c r="G79" s="223"/>
      <c r="H79" s="207"/>
      <c r="I79" s="432" t="s">
        <v>11</v>
      </c>
      <c r="J79" s="432"/>
      <c r="K79" s="218">
        <f>'1-1 (1)'!K24</f>
        <v>0</v>
      </c>
      <c r="L79" s="223"/>
      <c r="M79" s="223"/>
      <c r="N79" s="223"/>
      <c r="O79" s="223"/>
      <c r="P79" s="223"/>
      <c r="Q79" s="207"/>
    </row>
    <row r="80" spans="1:17" s="296" customFormat="1" ht="12.75">
      <c r="A80" s="213"/>
      <c r="B80" s="214"/>
      <c r="C80" s="213"/>
      <c r="D80" s="215"/>
      <c r="E80" s="216"/>
      <c r="F80" s="216"/>
      <c r="G80" s="216"/>
      <c r="H80" s="187"/>
      <c r="I80" s="187"/>
      <c r="J80" s="216"/>
      <c r="K80" s="216"/>
      <c r="L80" s="216"/>
      <c r="M80" s="216"/>
      <c r="N80" s="216"/>
      <c r="O80" s="216"/>
      <c r="P80" s="216"/>
      <c r="Q80" s="187"/>
    </row>
    <row r="81" spans="1:17" s="296" customFormat="1" ht="12.75">
      <c r="A81" s="213"/>
      <c r="B81" s="214"/>
      <c r="C81" s="213"/>
      <c r="D81" s="215"/>
      <c r="E81" s="216"/>
      <c r="F81" s="216"/>
      <c r="G81" s="216"/>
      <c r="H81" s="187"/>
      <c r="I81" s="187"/>
      <c r="J81" s="216"/>
      <c r="K81" s="216"/>
      <c r="L81" s="216"/>
      <c r="M81" s="216"/>
      <c r="N81" s="216"/>
      <c r="O81" s="216"/>
      <c r="P81" s="216"/>
      <c r="Q81" s="187"/>
    </row>
    <row r="82" spans="1:17" s="296" customFormat="1" ht="12.75">
      <c r="A82" s="213"/>
      <c r="B82" s="214"/>
      <c r="C82" s="213"/>
      <c r="D82" s="215"/>
      <c r="E82" s="216"/>
      <c r="F82" s="216"/>
      <c r="G82" s="216"/>
      <c r="H82" s="187"/>
      <c r="I82" s="187"/>
      <c r="J82" s="216"/>
      <c r="K82" s="216"/>
      <c r="L82" s="216"/>
      <c r="M82" s="216"/>
      <c r="N82" s="216"/>
      <c r="O82" s="216"/>
      <c r="P82" s="216"/>
      <c r="Q82" s="187"/>
    </row>
    <row r="83" spans="1:17" s="296" customFormat="1" ht="12.75">
      <c r="A83" s="213"/>
      <c r="B83" s="214"/>
      <c r="C83" s="213"/>
      <c r="D83" s="215"/>
      <c r="E83" s="216"/>
      <c r="F83" s="216"/>
      <c r="G83" s="216"/>
      <c r="H83" s="187"/>
      <c r="I83" s="187"/>
      <c r="J83" s="216"/>
      <c r="K83" s="216"/>
      <c r="L83" s="216"/>
      <c r="M83" s="216"/>
      <c r="N83" s="216"/>
      <c r="O83" s="216"/>
      <c r="P83" s="216"/>
      <c r="Q83" s="187"/>
    </row>
    <row r="84" spans="1:17" s="296" customFormat="1" ht="12.75">
      <c r="A84" s="213"/>
      <c r="B84" s="214"/>
      <c r="C84" s="213"/>
      <c r="D84" s="215"/>
      <c r="E84" s="216"/>
      <c r="F84" s="216"/>
      <c r="G84" s="216"/>
      <c r="H84" s="187"/>
      <c r="I84" s="187"/>
      <c r="J84" s="216"/>
      <c r="K84" s="216"/>
      <c r="L84" s="216"/>
      <c r="M84" s="216"/>
      <c r="N84" s="216"/>
      <c r="O84" s="216"/>
      <c r="P84" s="216"/>
      <c r="Q84" s="187"/>
    </row>
    <row r="85" spans="1:17" s="296" customFormat="1" ht="12.75">
      <c r="A85" s="213"/>
      <c r="B85" s="214"/>
      <c r="C85" s="213"/>
      <c r="D85" s="215"/>
      <c r="E85" s="216"/>
      <c r="F85" s="216"/>
      <c r="G85" s="216"/>
      <c r="H85" s="187"/>
      <c r="I85" s="187"/>
      <c r="J85" s="216"/>
      <c r="K85" s="216"/>
      <c r="L85" s="216"/>
      <c r="M85" s="216"/>
      <c r="N85" s="216"/>
      <c r="O85" s="216"/>
      <c r="P85" s="216"/>
      <c r="Q85" s="187"/>
    </row>
    <row r="86" spans="1:17" s="296" customFormat="1" ht="12.75">
      <c r="A86" s="213"/>
      <c r="B86" s="214"/>
      <c r="C86" s="213"/>
      <c r="D86" s="215"/>
      <c r="E86" s="216"/>
      <c r="F86" s="216"/>
      <c r="G86" s="216"/>
      <c r="H86" s="187"/>
      <c r="I86" s="187"/>
      <c r="J86" s="216"/>
      <c r="K86" s="216"/>
      <c r="L86" s="216"/>
      <c r="M86" s="216"/>
      <c r="N86" s="216"/>
      <c r="O86" s="216"/>
      <c r="P86" s="216"/>
      <c r="Q86" s="187"/>
    </row>
    <row r="87" spans="1:17" s="296" customFormat="1" ht="12.75">
      <c r="A87" s="213"/>
      <c r="B87" s="214"/>
      <c r="C87" s="213"/>
      <c r="D87" s="215"/>
      <c r="E87" s="216"/>
      <c r="F87" s="216"/>
      <c r="G87" s="216"/>
      <c r="H87" s="187"/>
      <c r="I87" s="187"/>
      <c r="J87" s="216"/>
      <c r="K87" s="216"/>
      <c r="L87" s="216"/>
      <c r="M87" s="216"/>
      <c r="N87" s="216"/>
      <c r="O87" s="216"/>
      <c r="P87" s="216"/>
      <c r="Q87" s="187"/>
    </row>
    <row r="88" spans="1:17" s="296" customFormat="1" ht="12.75">
      <c r="A88" s="213"/>
      <c r="B88" s="214"/>
      <c r="C88" s="213"/>
      <c r="D88" s="215"/>
      <c r="E88" s="216"/>
      <c r="F88" s="216"/>
      <c r="G88" s="216"/>
      <c r="H88" s="187"/>
      <c r="I88" s="187"/>
      <c r="J88" s="216"/>
      <c r="K88" s="216"/>
      <c r="L88" s="216"/>
      <c r="M88" s="216"/>
      <c r="N88" s="216"/>
      <c r="O88" s="216"/>
      <c r="P88" s="216"/>
      <c r="Q88" s="187"/>
    </row>
    <row r="89" spans="1:17" s="296" customFormat="1" ht="12.75">
      <c r="A89" s="213"/>
      <c r="B89" s="214"/>
      <c r="C89" s="213"/>
      <c r="D89" s="215"/>
      <c r="E89" s="216"/>
      <c r="F89" s="216"/>
      <c r="G89" s="216"/>
      <c r="H89" s="187"/>
      <c r="I89" s="187"/>
      <c r="J89" s="216"/>
      <c r="K89" s="216"/>
      <c r="L89" s="216"/>
      <c r="M89" s="216"/>
      <c r="N89" s="216"/>
      <c r="O89" s="216"/>
      <c r="P89" s="216"/>
      <c r="Q89" s="187"/>
    </row>
    <row r="90" spans="1:17" s="296" customFormat="1" ht="12.75">
      <c r="A90" s="213"/>
      <c r="B90" s="214"/>
      <c r="C90" s="213"/>
      <c r="D90" s="215"/>
      <c r="E90" s="216"/>
      <c r="F90" s="216"/>
      <c r="G90" s="216"/>
      <c r="H90" s="187"/>
      <c r="I90" s="187"/>
      <c r="J90" s="216"/>
      <c r="K90" s="216"/>
      <c r="L90" s="216"/>
      <c r="M90" s="216"/>
      <c r="N90" s="216"/>
      <c r="O90" s="216"/>
      <c r="P90" s="216"/>
      <c r="Q90" s="187"/>
    </row>
    <row r="91" spans="1:17" s="296" customFormat="1" ht="12.75">
      <c r="A91" s="213"/>
      <c r="B91" s="214"/>
      <c r="C91" s="213"/>
      <c r="D91" s="215"/>
      <c r="E91" s="216"/>
      <c r="F91" s="216"/>
      <c r="G91" s="216"/>
      <c r="H91" s="187"/>
      <c r="I91" s="187"/>
      <c r="J91" s="216"/>
      <c r="K91" s="216"/>
      <c r="L91" s="216"/>
      <c r="M91" s="216"/>
      <c r="N91" s="216"/>
      <c r="O91" s="216"/>
      <c r="P91" s="216"/>
      <c r="Q91" s="187"/>
    </row>
    <row r="92" spans="1:17" s="296" customFormat="1" ht="12.75">
      <c r="A92" s="213"/>
      <c r="B92" s="214"/>
      <c r="C92" s="213"/>
      <c r="D92" s="215"/>
      <c r="E92" s="216"/>
      <c r="F92" s="216"/>
      <c r="G92" s="216"/>
      <c r="H92" s="187"/>
      <c r="I92" s="187"/>
      <c r="J92" s="216"/>
      <c r="K92" s="216"/>
      <c r="L92" s="216"/>
      <c r="M92" s="216"/>
      <c r="N92" s="216"/>
      <c r="O92" s="216"/>
      <c r="P92" s="216"/>
      <c r="Q92" s="187"/>
    </row>
    <row r="93" spans="1:17" s="296" customFormat="1" ht="12.75">
      <c r="A93" s="213"/>
      <c r="B93" s="214"/>
      <c r="C93" s="213"/>
      <c r="D93" s="215"/>
      <c r="E93" s="216"/>
      <c r="F93" s="216"/>
      <c r="G93" s="216"/>
      <c r="H93" s="187"/>
      <c r="I93" s="187"/>
      <c r="J93" s="216"/>
      <c r="K93" s="216"/>
      <c r="L93" s="216"/>
      <c r="M93" s="216"/>
      <c r="N93" s="216"/>
      <c r="O93" s="216"/>
      <c r="P93" s="216"/>
      <c r="Q93" s="187"/>
    </row>
    <row r="94" spans="1:17" s="296" customFormat="1" ht="12.75">
      <c r="A94" s="213"/>
      <c r="B94" s="214"/>
      <c r="C94" s="213"/>
      <c r="D94" s="215"/>
      <c r="E94" s="216"/>
      <c r="F94" s="216"/>
      <c r="G94" s="216"/>
      <c r="H94" s="187"/>
      <c r="I94" s="187"/>
      <c r="J94" s="216"/>
      <c r="K94" s="216"/>
      <c r="L94" s="216"/>
      <c r="M94" s="216"/>
      <c r="N94" s="216"/>
      <c r="O94" s="216"/>
      <c r="P94" s="216"/>
      <c r="Q94" s="187"/>
    </row>
    <row r="95" spans="1:17" s="296" customFormat="1" ht="12.75">
      <c r="A95" s="213"/>
      <c r="B95" s="214"/>
      <c r="C95" s="213"/>
      <c r="D95" s="215"/>
      <c r="E95" s="216"/>
      <c r="F95" s="216"/>
      <c r="G95" s="216"/>
      <c r="H95" s="187"/>
      <c r="I95" s="187"/>
      <c r="J95" s="216"/>
      <c r="K95" s="216"/>
      <c r="L95" s="216"/>
      <c r="M95" s="216"/>
      <c r="N95" s="216"/>
      <c r="O95" s="216"/>
      <c r="P95" s="216"/>
      <c r="Q95" s="187"/>
    </row>
    <row r="96" spans="1:17" s="296" customFormat="1" ht="12.75">
      <c r="A96" s="213"/>
      <c r="B96" s="214"/>
      <c r="C96" s="213"/>
      <c r="D96" s="215"/>
      <c r="E96" s="216"/>
      <c r="F96" s="216"/>
      <c r="G96" s="216"/>
      <c r="H96" s="187"/>
      <c r="I96" s="187"/>
      <c r="J96" s="216"/>
      <c r="K96" s="216"/>
      <c r="L96" s="216"/>
      <c r="M96" s="216"/>
      <c r="N96" s="216"/>
      <c r="O96" s="216"/>
      <c r="P96" s="216"/>
      <c r="Q96" s="187"/>
    </row>
    <row r="97" spans="1:17" s="296" customFormat="1" ht="12.75">
      <c r="A97" s="213"/>
      <c r="B97" s="214"/>
      <c r="C97" s="213"/>
      <c r="D97" s="215"/>
      <c r="E97" s="216"/>
      <c r="F97" s="216"/>
      <c r="G97" s="216"/>
      <c r="H97" s="187"/>
      <c r="I97" s="187"/>
      <c r="J97" s="216"/>
      <c r="K97" s="216"/>
      <c r="L97" s="216"/>
      <c r="M97" s="216"/>
      <c r="N97" s="216"/>
      <c r="O97" s="216"/>
      <c r="P97" s="216"/>
      <c r="Q97" s="187"/>
    </row>
    <row r="98" spans="1:17" s="296" customFormat="1" ht="12.75">
      <c r="A98" s="213"/>
      <c r="B98" s="214"/>
      <c r="C98" s="213"/>
      <c r="D98" s="215"/>
      <c r="E98" s="216"/>
      <c r="F98" s="216"/>
      <c r="G98" s="216"/>
      <c r="H98" s="187"/>
      <c r="I98" s="187"/>
      <c r="J98" s="216"/>
      <c r="K98" s="216"/>
      <c r="L98" s="216"/>
      <c r="M98" s="216"/>
      <c r="N98" s="216"/>
      <c r="O98" s="216"/>
      <c r="P98" s="216"/>
      <c r="Q98" s="187"/>
    </row>
    <row r="99" spans="1:17" s="296" customFormat="1" ht="12.75">
      <c r="A99" s="213"/>
      <c r="B99" s="214"/>
      <c r="C99" s="213"/>
      <c r="D99" s="215"/>
      <c r="E99" s="216"/>
      <c r="F99" s="216"/>
      <c r="G99" s="216"/>
      <c r="H99" s="187"/>
      <c r="I99" s="187"/>
      <c r="J99" s="216"/>
      <c r="K99" s="216"/>
      <c r="L99" s="216"/>
      <c r="M99" s="216"/>
      <c r="N99" s="216"/>
      <c r="O99" s="216"/>
      <c r="P99" s="216"/>
      <c r="Q99" s="187"/>
    </row>
    <row r="100" spans="1:17" s="296" customFormat="1" ht="12.75">
      <c r="A100" s="213"/>
      <c r="B100" s="214"/>
      <c r="C100" s="213"/>
      <c r="D100" s="215"/>
      <c r="E100" s="216"/>
      <c r="F100" s="216"/>
      <c r="G100" s="216"/>
      <c r="H100" s="187"/>
      <c r="I100" s="187"/>
      <c r="J100" s="216"/>
      <c r="K100" s="216"/>
      <c r="L100" s="216"/>
      <c r="M100" s="216"/>
      <c r="N100" s="216"/>
      <c r="O100" s="216"/>
      <c r="P100" s="216"/>
      <c r="Q100" s="187"/>
    </row>
    <row r="101" spans="1:17" s="296" customFormat="1" ht="12.75">
      <c r="A101" s="213"/>
      <c r="B101" s="214"/>
      <c r="C101" s="213"/>
      <c r="D101" s="215"/>
      <c r="E101" s="216"/>
      <c r="F101" s="216"/>
      <c r="G101" s="216"/>
      <c r="H101" s="187"/>
      <c r="I101" s="187"/>
      <c r="J101" s="216"/>
      <c r="K101" s="216"/>
      <c r="L101" s="216"/>
      <c r="M101" s="216"/>
      <c r="N101" s="216"/>
      <c r="O101" s="216"/>
      <c r="P101" s="216"/>
      <c r="Q101" s="187"/>
    </row>
    <row r="102" spans="1:17" s="296" customFormat="1" ht="12.75">
      <c r="A102" s="213"/>
      <c r="B102" s="214"/>
      <c r="C102" s="213"/>
      <c r="D102" s="215"/>
      <c r="E102" s="216"/>
      <c r="F102" s="216"/>
      <c r="G102" s="216"/>
      <c r="H102" s="187"/>
      <c r="I102" s="187"/>
      <c r="J102" s="216"/>
      <c r="K102" s="216"/>
      <c r="L102" s="216"/>
      <c r="M102" s="216"/>
      <c r="N102" s="216"/>
      <c r="O102" s="216"/>
      <c r="P102" s="216"/>
      <c r="Q102" s="187"/>
    </row>
    <row r="103" spans="1:17" s="296" customFormat="1" ht="12.75">
      <c r="A103" s="213"/>
      <c r="B103" s="214"/>
      <c r="C103" s="213"/>
      <c r="D103" s="215"/>
      <c r="E103" s="216"/>
      <c r="F103" s="216"/>
      <c r="G103" s="216"/>
      <c r="H103" s="187"/>
      <c r="I103" s="187"/>
      <c r="J103" s="216"/>
      <c r="K103" s="216"/>
      <c r="L103" s="216"/>
      <c r="M103" s="216"/>
      <c r="N103" s="216"/>
      <c r="O103" s="216"/>
      <c r="P103" s="216"/>
      <c r="Q103" s="187"/>
    </row>
    <row r="104" spans="1:17" s="296" customFormat="1" ht="12.75">
      <c r="A104" s="213"/>
      <c r="B104" s="214"/>
      <c r="C104" s="213"/>
      <c r="D104" s="215"/>
      <c r="E104" s="216"/>
      <c r="F104" s="216"/>
      <c r="G104" s="216"/>
      <c r="H104" s="187"/>
      <c r="I104" s="187"/>
      <c r="J104" s="216"/>
      <c r="K104" s="216"/>
      <c r="L104" s="216"/>
      <c r="M104" s="216"/>
      <c r="N104" s="216"/>
      <c r="O104" s="216"/>
      <c r="P104" s="216"/>
      <c r="Q104" s="187"/>
    </row>
    <row r="105" spans="1:17" s="296" customFormat="1" ht="12.75">
      <c r="A105" s="213"/>
      <c r="B105" s="214"/>
      <c r="C105" s="213"/>
      <c r="D105" s="215"/>
      <c r="E105" s="216"/>
      <c r="F105" s="216"/>
      <c r="G105" s="216"/>
      <c r="H105" s="187"/>
      <c r="I105" s="187"/>
      <c r="J105" s="216"/>
      <c r="K105" s="216"/>
      <c r="L105" s="216"/>
      <c r="M105" s="216"/>
      <c r="N105" s="216"/>
      <c r="O105" s="216"/>
      <c r="P105" s="216"/>
      <c r="Q105" s="187"/>
    </row>
    <row r="106" spans="1:17" s="296" customFormat="1" ht="12.75">
      <c r="A106" s="213"/>
      <c r="B106" s="214"/>
      <c r="C106" s="213"/>
      <c r="D106" s="215"/>
      <c r="E106" s="216"/>
      <c r="F106" s="216"/>
      <c r="G106" s="216"/>
      <c r="H106" s="187"/>
      <c r="I106" s="187"/>
      <c r="J106" s="216"/>
      <c r="K106" s="216"/>
      <c r="L106" s="216"/>
      <c r="M106" s="216"/>
      <c r="N106" s="216"/>
      <c r="O106" s="216"/>
      <c r="P106" s="216"/>
      <c r="Q106" s="187"/>
    </row>
    <row r="107" spans="1:17" s="296" customFormat="1" ht="12.75">
      <c r="A107" s="213"/>
      <c r="B107" s="214"/>
      <c r="C107" s="213"/>
      <c r="D107" s="215"/>
      <c r="E107" s="216"/>
      <c r="F107" s="216"/>
      <c r="G107" s="216"/>
      <c r="H107" s="187"/>
      <c r="I107" s="187"/>
      <c r="J107" s="216"/>
      <c r="K107" s="216"/>
      <c r="L107" s="216"/>
      <c r="M107" s="216"/>
      <c r="N107" s="216"/>
      <c r="O107" s="216"/>
      <c r="P107" s="216"/>
      <c r="Q107" s="187"/>
    </row>
    <row r="108" spans="1:17" s="296" customFormat="1" ht="12.75">
      <c r="A108" s="213"/>
      <c r="B108" s="214"/>
      <c r="C108" s="213"/>
      <c r="D108" s="215"/>
      <c r="E108" s="216"/>
      <c r="F108" s="216"/>
      <c r="G108" s="216"/>
      <c r="H108" s="187"/>
      <c r="I108" s="187"/>
      <c r="J108" s="216"/>
      <c r="K108" s="216"/>
      <c r="L108" s="216"/>
      <c r="M108" s="216"/>
      <c r="N108" s="216"/>
      <c r="O108" s="216"/>
      <c r="P108" s="216"/>
      <c r="Q108" s="187"/>
    </row>
    <row r="109" spans="1:17" s="296" customFormat="1" ht="12.75">
      <c r="A109" s="213"/>
      <c r="B109" s="214"/>
      <c r="C109" s="213"/>
      <c r="D109" s="215"/>
      <c r="E109" s="216"/>
      <c r="F109" s="216"/>
      <c r="G109" s="216"/>
      <c r="H109" s="187"/>
      <c r="I109" s="187"/>
      <c r="J109" s="216"/>
      <c r="K109" s="216"/>
      <c r="L109" s="216"/>
      <c r="M109" s="216"/>
      <c r="N109" s="216"/>
      <c r="O109" s="216"/>
      <c r="P109" s="216"/>
      <c r="Q109" s="187"/>
    </row>
    <row r="110" spans="1:17" s="296" customFormat="1" ht="12.75">
      <c r="A110" s="213"/>
      <c r="B110" s="214"/>
      <c r="C110" s="213"/>
      <c r="D110" s="215"/>
      <c r="E110" s="216"/>
      <c r="F110" s="216"/>
      <c r="G110" s="216"/>
      <c r="H110" s="187"/>
      <c r="I110" s="187"/>
      <c r="J110" s="216"/>
      <c r="K110" s="216"/>
      <c r="L110" s="216"/>
      <c r="M110" s="216"/>
      <c r="N110" s="216"/>
      <c r="O110" s="216"/>
      <c r="P110" s="216"/>
      <c r="Q110" s="187"/>
    </row>
    <row r="111" spans="1:17" s="296" customFormat="1" ht="12.75">
      <c r="A111" s="213"/>
      <c r="B111" s="214"/>
      <c r="C111" s="213"/>
      <c r="D111" s="215"/>
      <c r="E111" s="216"/>
      <c r="F111" s="216"/>
      <c r="G111" s="216"/>
      <c r="H111" s="187"/>
      <c r="I111" s="187"/>
      <c r="J111" s="216"/>
      <c r="K111" s="216"/>
      <c r="L111" s="216"/>
      <c r="M111" s="216"/>
      <c r="N111" s="216"/>
      <c r="O111" s="216"/>
      <c r="P111" s="216"/>
      <c r="Q111" s="187"/>
    </row>
    <row r="112" spans="1:17" s="296" customFormat="1" ht="12.75">
      <c r="A112" s="213"/>
      <c r="B112" s="214"/>
      <c r="C112" s="213"/>
      <c r="D112" s="215"/>
      <c r="E112" s="216"/>
      <c r="F112" s="216"/>
      <c r="G112" s="216"/>
      <c r="H112" s="187"/>
      <c r="I112" s="187"/>
      <c r="J112" s="216"/>
      <c r="K112" s="216"/>
      <c r="L112" s="216"/>
      <c r="M112" s="216"/>
      <c r="N112" s="216"/>
      <c r="O112" s="216"/>
      <c r="P112" s="216"/>
      <c r="Q112" s="187"/>
    </row>
    <row r="113" spans="1:16" ht="12.75">
      <c r="A113" s="213"/>
      <c r="B113" s="214"/>
      <c r="C113" s="213"/>
      <c r="D113" s="215"/>
      <c r="E113" s="216"/>
      <c r="F113" s="216"/>
      <c r="G113" s="216"/>
      <c r="H113" s="187"/>
      <c r="I113" s="187"/>
      <c r="J113" s="216"/>
      <c r="K113" s="216"/>
      <c r="L113" s="216"/>
      <c r="M113" s="216"/>
      <c r="N113" s="216"/>
      <c r="O113" s="216"/>
      <c r="P113" s="216"/>
    </row>
    <row r="114" spans="1:16" ht="12.75">
      <c r="A114" s="213"/>
      <c r="B114" s="214"/>
      <c r="C114" s="213"/>
      <c r="D114" s="215"/>
      <c r="E114" s="216"/>
      <c r="F114" s="216"/>
      <c r="G114" s="216"/>
      <c r="H114" s="187"/>
      <c r="I114" s="187"/>
      <c r="J114" s="216"/>
      <c r="K114" s="216"/>
      <c r="L114" s="216"/>
      <c r="M114" s="216"/>
      <c r="N114" s="216"/>
      <c r="O114" s="216"/>
      <c r="P114" s="216"/>
    </row>
    <row r="115" spans="1:16" ht="12.75">
      <c r="A115" s="213"/>
      <c r="B115" s="214"/>
      <c r="C115" s="213"/>
      <c r="D115" s="215"/>
      <c r="E115" s="216"/>
      <c r="F115" s="216"/>
      <c r="G115" s="216"/>
      <c r="H115" s="187"/>
      <c r="I115" s="187"/>
      <c r="J115" s="216"/>
      <c r="K115" s="216"/>
      <c r="L115" s="216"/>
      <c r="M115" s="216"/>
      <c r="N115" s="216"/>
      <c r="O115" s="216"/>
      <c r="P115" s="216"/>
    </row>
    <row r="116" spans="1:16" ht="12.75">
      <c r="A116" s="213"/>
      <c r="B116" s="214"/>
      <c r="C116" s="213"/>
      <c r="D116" s="215"/>
      <c r="E116" s="216"/>
      <c r="F116" s="216"/>
      <c r="G116" s="216"/>
      <c r="H116" s="187"/>
      <c r="I116" s="187"/>
      <c r="J116" s="216"/>
      <c r="K116" s="216"/>
      <c r="L116" s="216"/>
      <c r="M116" s="216"/>
      <c r="N116" s="216"/>
      <c r="O116" s="216"/>
      <c r="P116" s="216"/>
    </row>
    <row r="117" spans="1:16" ht="12.75">
      <c r="A117" s="213"/>
      <c r="B117" s="214"/>
      <c r="C117" s="213"/>
      <c r="D117" s="215"/>
      <c r="E117" s="216"/>
      <c r="F117" s="216"/>
      <c r="G117" s="216"/>
      <c r="H117" s="187"/>
      <c r="I117" s="187"/>
      <c r="J117" s="216"/>
      <c r="K117" s="216"/>
      <c r="L117" s="216"/>
      <c r="M117" s="216"/>
      <c r="N117" s="216"/>
      <c r="O117" s="216"/>
      <c r="P117" s="216"/>
    </row>
    <row r="118" spans="1:16" ht="12.75">
      <c r="A118" s="213"/>
      <c r="B118" s="214"/>
      <c r="C118" s="213"/>
      <c r="D118" s="215"/>
      <c r="E118" s="216"/>
      <c r="F118" s="216"/>
      <c r="G118" s="216"/>
      <c r="H118" s="187"/>
      <c r="I118" s="187"/>
      <c r="J118" s="216"/>
      <c r="K118" s="216"/>
      <c r="L118" s="216"/>
      <c r="M118" s="216"/>
      <c r="N118" s="216"/>
      <c r="O118" s="216"/>
      <c r="P118" s="216"/>
    </row>
    <row r="119" spans="1:16" ht="12.75">
      <c r="A119" s="213"/>
      <c r="B119" s="214"/>
      <c r="C119" s="213"/>
      <c r="D119" s="215"/>
      <c r="E119" s="216"/>
      <c r="F119" s="216"/>
      <c r="G119" s="216"/>
      <c r="H119" s="187"/>
      <c r="I119" s="187"/>
      <c r="J119" s="216"/>
      <c r="K119" s="216"/>
      <c r="L119" s="216"/>
      <c r="M119" s="216"/>
      <c r="N119" s="216"/>
      <c r="O119" s="216"/>
      <c r="P119" s="216"/>
    </row>
    <row r="120" spans="1:16" ht="12.75">
      <c r="A120" s="213"/>
      <c r="B120" s="214"/>
      <c r="C120" s="213"/>
      <c r="D120" s="215"/>
      <c r="E120" s="216"/>
      <c r="F120" s="216"/>
      <c r="G120" s="216"/>
      <c r="H120" s="187"/>
      <c r="I120" s="187"/>
      <c r="J120" s="216"/>
      <c r="K120" s="216"/>
      <c r="L120" s="216"/>
      <c r="M120" s="216"/>
      <c r="N120" s="216"/>
      <c r="O120" s="216"/>
      <c r="P120" s="216"/>
    </row>
    <row r="121" spans="1:16" ht="12.75">
      <c r="A121" s="213"/>
      <c r="B121" s="214"/>
      <c r="C121" s="213"/>
      <c r="D121" s="215"/>
      <c r="E121" s="216"/>
      <c r="F121" s="216"/>
      <c r="G121" s="216"/>
      <c r="H121" s="187"/>
      <c r="I121" s="187"/>
      <c r="J121" s="216"/>
      <c r="K121" s="216"/>
      <c r="L121" s="216"/>
      <c r="M121" s="216"/>
      <c r="N121" s="216"/>
      <c r="O121" s="216"/>
      <c r="P121" s="216"/>
    </row>
    <row r="122" spans="1:16" ht="12.75">
      <c r="A122" s="213"/>
      <c r="B122" s="214"/>
      <c r="C122" s="213"/>
      <c r="D122" s="215"/>
      <c r="E122" s="216"/>
      <c r="F122" s="216"/>
      <c r="G122" s="216"/>
      <c r="H122" s="187"/>
      <c r="I122" s="187"/>
      <c r="J122" s="216"/>
      <c r="K122" s="216"/>
      <c r="L122" s="216"/>
      <c r="M122" s="216"/>
      <c r="N122" s="216"/>
      <c r="O122" s="216"/>
      <c r="P122" s="216"/>
    </row>
    <row r="123" spans="1:16" ht="12.75">
      <c r="A123" s="213"/>
      <c r="B123" s="214"/>
      <c r="C123" s="213"/>
      <c r="D123" s="215"/>
      <c r="E123" s="216"/>
      <c r="F123" s="216"/>
      <c r="G123" s="216"/>
      <c r="H123" s="187"/>
      <c r="I123" s="187"/>
      <c r="J123" s="216"/>
      <c r="K123" s="216"/>
      <c r="L123" s="216"/>
      <c r="M123" s="216"/>
      <c r="N123" s="216"/>
      <c r="O123" s="216"/>
      <c r="P123" s="216"/>
    </row>
    <row r="124" spans="1:16" ht="12.75">
      <c r="A124" s="213"/>
      <c r="B124" s="214"/>
      <c r="C124" s="213"/>
      <c r="D124" s="215"/>
      <c r="E124" s="216"/>
      <c r="F124" s="216"/>
      <c r="G124" s="216"/>
      <c r="H124" s="187"/>
      <c r="I124" s="187"/>
      <c r="J124" s="216"/>
      <c r="K124" s="216"/>
      <c r="L124" s="216"/>
      <c r="M124" s="216"/>
      <c r="N124" s="216"/>
      <c r="O124" s="216"/>
      <c r="P124" s="216"/>
    </row>
    <row r="125" spans="1:16" ht="12.75">
      <c r="A125" s="213"/>
      <c r="B125" s="214"/>
      <c r="C125" s="213"/>
      <c r="D125" s="215"/>
      <c r="E125" s="216"/>
      <c r="F125" s="216"/>
      <c r="G125" s="216"/>
      <c r="H125" s="187"/>
      <c r="I125" s="187"/>
      <c r="J125" s="216"/>
      <c r="K125" s="216"/>
      <c r="L125" s="216"/>
      <c r="M125" s="216"/>
      <c r="N125" s="216"/>
      <c r="O125" s="216"/>
      <c r="P125" s="216"/>
    </row>
    <row r="126" spans="1:16" ht="12.75">
      <c r="A126" s="213"/>
      <c r="B126" s="214"/>
      <c r="C126" s="213"/>
      <c r="D126" s="215"/>
      <c r="E126" s="216"/>
      <c r="F126" s="216"/>
      <c r="G126" s="216"/>
      <c r="H126" s="187"/>
      <c r="I126" s="187"/>
      <c r="J126" s="216"/>
      <c r="K126" s="216"/>
      <c r="L126" s="216"/>
      <c r="M126" s="216"/>
      <c r="N126" s="216"/>
      <c r="O126" s="216"/>
      <c r="P126" s="216"/>
    </row>
    <row r="127" spans="1:16" ht="12.75">
      <c r="A127" s="213"/>
      <c r="B127" s="214"/>
      <c r="C127" s="213"/>
      <c r="D127" s="215"/>
      <c r="E127" s="216"/>
      <c r="F127" s="216"/>
      <c r="G127" s="216"/>
      <c r="H127" s="187"/>
      <c r="I127" s="187"/>
      <c r="J127" s="216"/>
      <c r="K127" s="216"/>
      <c r="L127" s="216"/>
      <c r="M127" s="216"/>
      <c r="N127" s="216"/>
      <c r="O127" s="216"/>
      <c r="P127" s="216"/>
    </row>
    <row r="128" spans="1:16" ht="12.75">
      <c r="A128" s="213"/>
      <c r="B128" s="214"/>
      <c r="C128" s="213"/>
      <c r="D128" s="215"/>
      <c r="E128" s="216"/>
      <c r="F128" s="216"/>
      <c r="G128" s="216"/>
      <c r="H128" s="187"/>
      <c r="I128" s="187"/>
      <c r="J128" s="216"/>
      <c r="K128" s="216"/>
      <c r="L128" s="216"/>
      <c r="M128" s="216"/>
      <c r="N128" s="216"/>
      <c r="O128" s="216"/>
      <c r="P128" s="216"/>
    </row>
    <row r="129" spans="1:16" ht="12.75">
      <c r="A129" s="213"/>
      <c r="B129" s="214"/>
      <c r="C129" s="213"/>
      <c r="D129" s="215"/>
      <c r="E129" s="216"/>
      <c r="F129" s="216"/>
      <c r="G129" s="216"/>
      <c r="H129" s="187"/>
      <c r="I129" s="187"/>
      <c r="J129" s="216"/>
      <c r="K129" s="216"/>
      <c r="L129" s="216"/>
      <c r="M129" s="216"/>
      <c r="N129" s="216"/>
      <c r="O129" s="216"/>
      <c r="P129" s="216"/>
    </row>
    <row r="130" spans="1:16" ht="12.75">
      <c r="A130" s="213"/>
      <c r="B130" s="214"/>
      <c r="C130" s="213"/>
      <c r="D130" s="215"/>
      <c r="E130" s="216"/>
      <c r="F130" s="216"/>
      <c r="G130" s="216"/>
      <c r="H130" s="187"/>
      <c r="I130" s="187"/>
      <c r="J130" s="216"/>
      <c r="K130" s="216"/>
      <c r="L130" s="216"/>
      <c r="M130" s="216"/>
      <c r="N130" s="216"/>
      <c r="O130" s="216"/>
      <c r="P130" s="216"/>
    </row>
    <row r="131" spans="1:16" ht="12.75">
      <c r="A131" s="213"/>
      <c r="B131" s="214"/>
      <c r="C131" s="213"/>
      <c r="D131" s="215"/>
      <c r="E131" s="216"/>
      <c r="F131" s="216"/>
      <c r="G131" s="216"/>
      <c r="H131" s="187"/>
      <c r="I131" s="187"/>
      <c r="J131" s="216"/>
      <c r="K131" s="216"/>
      <c r="L131" s="216"/>
      <c r="M131" s="216"/>
      <c r="N131" s="216"/>
      <c r="O131" s="216"/>
      <c r="P131" s="216"/>
    </row>
    <row r="132" spans="1:16" ht="12.75">
      <c r="A132" s="213"/>
      <c r="B132" s="214"/>
      <c r="C132" s="213"/>
      <c r="D132" s="215"/>
      <c r="E132" s="216"/>
      <c r="F132" s="216"/>
      <c r="G132" s="216"/>
      <c r="H132" s="187"/>
      <c r="I132" s="187"/>
      <c r="J132" s="216"/>
      <c r="K132" s="216"/>
      <c r="L132" s="216"/>
      <c r="M132" s="216"/>
      <c r="N132" s="216"/>
      <c r="O132" s="216"/>
      <c r="P132" s="216"/>
    </row>
    <row r="133" spans="1:16" ht="12.75">
      <c r="A133" s="213"/>
      <c r="B133" s="214"/>
      <c r="C133" s="213"/>
      <c r="D133" s="215"/>
      <c r="E133" s="216"/>
      <c r="F133" s="216"/>
      <c r="G133" s="216"/>
      <c r="H133" s="187"/>
      <c r="I133" s="187"/>
      <c r="J133" s="216"/>
      <c r="K133" s="216"/>
      <c r="L133" s="216"/>
      <c r="M133" s="216"/>
      <c r="N133" s="216"/>
      <c r="O133" s="216"/>
      <c r="P133" s="216"/>
    </row>
    <row r="134" spans="1:16" ht="12.75">
      <c r="A134" s="213"/>
      <c r="B134" s="214"/>
      <c r="C134" s="213"/>
      <c r="D134" s="215"/>
      <c r="E134" s="216"/>
      <c r="F134" s="216"/>
      <c r="G134" s="216"/>
      <c r="H134" s="187"/>
      <c r="I134" s="187"/>
      <c r="J134" s="216"/>
      <c r="K134" s="216"/>
      <c r="L134" s="216"/>
      <c r="M134" s="216"/>
      <c r="N134" s="216"/>
      <c r="O134" s="216"/>
      <c r="P134" s="216"/>
    </row>
    <row r="135" spans="1:16" ht="12.75">
      <c r="A135" s="213"/>
      <c r="B135" s="214"/>
      <c r="C135" s="213"/>
      <c r="D135" s="215"/>
      <c r="E135" s="216"/>
      <c r="F135" s="216"/>
      <c r="G135" s="216"/>
      <c r="H135" s="187"/>
      <c r="I135" s="187"/>
      <c r="J135" s="216"/>
      <c r="K135" s="216"/>
      <c r="L135" s="216"/>
      <c r="M135" s="216"/>
      <c r="N135" s="216"/>
      <c r="O135" s="216"/>
      <c r="P135" s="216"/>
    </row>
    <row r="136" spans="1:16" ht="12.75">
      <c r="A136" s="213"/>
      <c r="B136" s="214"/>
      <c r="C136" s="213"/>
      <c r="D136" s="215"/>
      <c r="E136" s="216"/>
      <c r="F136" s="216"/>
      <c r="G136" s="216"/>
      <c r="H136" s="187"/>
      <c r="I136" s="187"/>
      <c r="J136" s="216"/>
      <c r="K136" s="216"/>
      <c r="L136" s="216"/>
      <c r="M136" s="216"/>
      <c r="N136" s="216"/>
      <c r="O136" s="216"/>
      <c r="P136" s="216"/>
    </row>
    <row r="137" spans="1:16" ht="12.75">
      <c r="A137" s="213"/>
      <c r="B137" s="214"/>
      <c r="C137" s="213"/>
      <c r="D137" s="215"/>
      <c r="E137" s="216"/>
      <c r="F137" s="216"/>
      <c r="G137" s="216"/>
      <c r="H137" s="187"/>
      <c r="I137" s="187"/>
      <c r="J137" s="216"/>
      <c r="K137" s="216"/>
      <c r="L137" s="216"/>
      <c r="M137" s="216"/>
      <c r="N137" s="216"/>
      <c r="O137" s="216"/>
      <c r="P137" s="216"/>
    </row>
    <row r="138" spans="1:16" ht="12.75">
      <c r="A138" s="213"/>
      <c r="B138" s="214"/>
      <c r="C138" s="213"/>
      <c r="D138" s="215"/>
      <c r="E138" s="216"/>
      <c r="F138" s="216"/>
      <c r="G138" s="216"/>
      <c r="H138" s="187"/>
      <c r="I138" s="187"/>
      <c r="J138" s="216"/>
      <c r="K138" s="216"/>
      <c r="L138" s="216"/>
      <c r="M138" s="216"/>
      <c r="N138" s="216"/>
      <c r="O138" s="216"/>
      <c r="P138" s="216"/>
    </row>
    <row r="139" spans="1:16" ht="12.75">
      <c r="A139" s="213"/>
      <c r="B139" s="214"/>
      <c r="C139" s="213"/>
      <c r="D139" s="215"/>
      <c r="E139" s="216"/>
      <c r="F139" s="216"/>
      <c r="G139" s="216"/>
      <c r="H139" s="187"/>
      <c r="I139" s="187"/>
      <c r="J139" s="216"/>
      <c r="K139" s="216"/>
      <c r="L139" s="216"/>
      <c r="M139" s="216"/>
      <c r="N139" s="216"/>
      <c r="O139" s="216"/>
      <c r="P139" s="216"/>
    </row>
    <row r="140" spans="1:16" ht="12.75">
      <c r="A140" s="213"/>
      <c r="B140" s="214"/>
      <c r="C140" s="213"/>
      <c r="D140" s="215"/>
      <c r="E140" s="216"/>
      <c r="F140" s="216"/>
      <c r="G140" s="216"/>
      <c r="H140" s="187"/>
      <c r="I140" s="187"/>
      <c r="J140" s="216"/>
      <c r="K140" s="216"/>
      <c r="L140" s="216"/>
      <c r="M140" s="216"/>
      <c r="N140" s="216"/>
      <c r="O140" s="216"/>
      <c r="P140" s="216"/>
    </row>
    <row r="141" spans="1:16" ht="12.75">
      <c r="A141" s="213"/>
      <c r="B141" s="214"/>
      <c r="C141" s="213"/>
      <c r="D141" s="215"/>
      <c r="E141" s="216"/>
      <c r="F141" s="216"/>
      <c r="G141" s="216"/>
      <c r="H141" s="187"/>
      <c r="I141" s="187"/>
      <c r="J141" s="216"/>
      <c r="K141" s="216"/>
      <c r="L141" s="216"/>
      <c r="M141" s="216"/>
      <c r="N141" s="216"/>
      <c r="O141" s="216"/>
      <c r="P141" s="216"/>
    </row>
    <row r="142" spans="1:16" ht="12.75">
      <c r="A142" s="213"/>
      <c r="B142" s="214"/>
      <c r="C142" s="213"/>
      <c r="D142" s="215"/>
      <c r="E142" s="216"/>
      <c r="F142" s="216"/>
      <c r="G142" s="216"/>
      <c r="H142" s="187"/>
      <c r="I142" s="187"/>
      <c r="J142" s="216"/>
      <c r="K142" s="216"/>
      <c r="L142" s="216"/>
      <c r="M142" s="216"/>
      <c r="N142" s="216"/>
      <c r="O142" s="216"/>
      <c r="P142" s="216"/>
    </row>
    <row r="143" spans="1:16" ht="12.75">
      <c r="A143" s="213"/>
      <c r="B143" s="214"/>
      <c r="C143" s="213"/>
      <c r="D143" s="215"/>
      <c r="E143" s="216"/>
      <c r="F143" s="216"/>
      <c r="G143" s="216"/>
      <c r="H143" s="187"/>
      <c r="I143" s="187"/>
      <c r="J143" s="216"/>
      <c r="K143" s="216"/>
      <c r="L143" s="216"/>
      <c r="M143" s="216"/>
      <c r="N143" s="216"/>
      <c r="O143" s="216"/>
      <c r="P143" s="216"/>
    </row>
    <row r="144" spans="1:16" ht="12.75">
      <c r="A144" s="213"/>
      <c r="B144" s="214"/>
      <c r="C144" s="213"/>
      <c r="D144" s="215"/>
      <c r="E144" s="216"/>
      <c r="F144" s="216"/>
      <c r="G144" s="216"/>
      <c r="H144" s="187"/>
      <c r="I144" s="187"/>
      <c r="J144" s="216"/>
      <c r="K144" s="216"/>
      <c r="L144" s="216"/>
      <c r="M144" s="216"/>
      <c r="N144" s="216"/>
      <c r="O144" s="216"/>
      <c r="P144" s="216"/>
    </row>
    <row r="145" spans="1:16" ht="12.75">
      <c r="A145" s="213"/>
      <c r="B145" s="214"/>
      <c r="C145" s="213"/>
      <c r="D145" s="215"/>
      <c r="E145" s="216"/>
      <c r="F145" s="216"/>
      <c r="G145" s="216"/>
      <c r="H145" s="187"/>
      <c r="I145" s="187"/>
      <c r="J145" s="216"/>
      <c r="K145" s="216"/>
      <c r="L145" s="216"/>
      <c r="M145" s="216"/>
      <c r="N145" s="216"/>
      <c r="O145" s="216"/>
      <c r="P145" s="216"/>
    </row>
    <row r="146" spans="1:16" ht="12.75">
      <c r="A146" s="213"/>
      <c r="B146" s="214"/>
      <c r="C146" s="213"/>
      <c r="D146" s="215"/>
      <c r="E146" s="216"/>
      <c r="F146" s="216"/>
      <c r="G146" s="216"/>
      <c r="H146" s="187"/>
      <c r="I146" s="187"/>
      <c r="J146" s="216"/>
      <c r="K146" s="216"/>
      <c r="L146" s="216"/>
      <c r="M146" s="216"/>
      <c r="N146" s="216"/>
      <c r="O146" s="216"/>
      <c r="P146" s="216"/>
    </row>
    <row r="147" spans="1:16" ht="12.75">
      <c r="A147" s="213"/>
      <c r="B147" s="214"/>
      <c r="C147" s="213"/>
      <c r="D147" s="215"/>
      <c r="E147" s="216"/>
      <c r="F147" s="216"/>
      <c r="G147" s="216"/>
      <c r="H147" s="187"/>
      <c r="I147" s="187"/>
      <c r="J147" s="216"/>
      <c r="K147" s="216"/>
      <c r="L147" s="216"/>
      <c r="M147" s="216"/>
      <c r="N147" s="216"/>
      <c r="O147" s="216"/>
      <c r="P147" s="216"/>
    </row>
    <row r="148" spans="1:16" ht="12.75">
      <c r="A148" s="213"/>
      <c r="B148" s="214"/>
      <c r="C148" s="213"/>
      <c r="D148" s="215"/>
      <c r="E148" s="216"/>
      <c r="F148" s="216"/>
      <c r="G148" s="216"/>
      <c r="H148" s="187"/>
      <c r="I148" s="187"/>
      <c r="J148" s="216"/>
      <c r="K148" s="216"/>
      <c r="L148" s="216"/>
      <c r="M148" s="216"/>
      <c r="N148" s="216"/>
      <c r="O148" s="216"/>
      <c r="P148" s="216"/>
    </row>
    <row r="149" spans="1:16" ht="12.75">
      <c r="A149" s="213"/>
      <c r="B149" s="214"/>
      <c r="C149" s="213"/>
      <c r="D149" s="215"/>
      <c r="E149" s="216"/>
      <c r="F149" s="216"/>
      <c r="G149" s="216"/>
      <c r="H149" s="187"/>
      <c r="I149" s="187"/>
      <c r="J149" s="216"/>
      <c r="K149" s="216"/>
      <c r="L149" s="216"/>
      <c r="M149" s="216"/>
      <c r="N149" s="216"/>
      <c r="O149" s="216"/>
      <c r="P149" s="216"/>
    </row>
    <row r="150" spans="1:16" ht="12.75">
      <c r="A150" s="213"/>
      <c r="B150" s="214"/>
      <c r="C150" s="213"/>
      <c r="D150" s="215"/>
      <c r="E150" s="216"/>
      <c r="F150" s="216"/>
      <c r="G150" s="216"/>
      <c r="H150" s="187"/>
      <c r="I150" s="187"/>
      <c r="J150" s="216"/>
      <c r="K150" s="216"/>
      <c r="L150" s="216"/>
      <c r="M150" s="216"/>
      <c r="N150" s="216"/>
      <c r="O150" s="216"/>
      <c r="P150" s="216"/>
    </row>
    <row r="151" spans="1:16" ht="12.75">
      <c r="A151" s="213"/>
      <c r="B151" s="214"/>
      <c r="C151" s="213"/>
      <c r="D151" s="215"/>
      <c r="E151" s="216"/>
      <c r="F151" s="216"/>
      <c r="G151" s="216"/>
      <c r="H151" s="187"/>
      <c r="I151" s="187"/>
      <c r="J151" s="216"/>
      <c r="K151" s="216"/>
      <c r="L151" s="216"/>
      <c r="M151" s="216"/>
      <c r="N151" s="216"/>
      <c r="O151" s="216"/>
      <c r="P151" s="216"/>
    </row>
    <row r="152" spans="1:16" ht="12.75">
      <c r="A152" s="213"/>
      <c r="B152" s="214"/>
      <c r="C152" s="213"/>
      <c r="D152" s="215"/>
      <c r="E152" s="216"/>
      <c r="F152" s="216"/>
      <c r="G152" s="216"/>
      <c r="H152" s="187"/>
      <c r="I152" s="187"/>
      <c r="J152" s="216"/>
      <c r="K152" s="216"/>
      <c r="L152" s="216"/>
      <c r="M152" s="216"/>
      <c r="N152" s="216"/>
      <c r="O152" s="216"/>
      <c r="P152" s="216"/>
    </row>
    <row r="153" spans="1:16" ht="12.75">
      <c r="A153" s="213"/>
      <c r="B153" s="214"/>
      <c r="C153" s="213"/>
      <c r="D153" s="215"/>
      <c r="E153" s="216"/>
      <c r="F153" s="216"/>
      <c r="G153" s="216"/>
      <c r="H153" s="187"/>
      <c r="I153" s="187"/>
      <c r="J153" s="216"/>
      <c r="K153" s="216"/>
      <c r="L153" s="216"/>
      <c r="M153" s="216"/>
      <c r="N153" s="216"/>
      <c r="O153" s="216"/>
      <c r="P153" s="216"/>
    </row>
    <row r="154" spans="1:16" ht="12.75">
      <c r="A154" s="213"/>
      <c r="B154" s="214"/>
      <c r="C154" s="213"/>
      <c r="D154" s="215"/>
      <c r="E154" s="216"/>
      <c r="F154" s="216"/>
      <c r="G154" s="216"/>
      <c r="H154" s="187"/>
      <c r="I154" s="187"/>
      <c r="J154" s="216"/>
      <c r="K154" s="216"/>
      <c r="L154" s="216"/>
      <c r="M154" s="216"/>
      <c r="N154" s="216"/>
      <c r="O154" s="216"/>
      <c r="P154" s="216"/>
    </row>
    <row r="155" spans="1:16" ht="12.75">
      <c r="A155" s="213"/>
      <c r="B155" s="214"/>
      <c r="C155" s="213"/>
      <c r="D155" s="215"/>
      <c r="E155" s="216"/>
      <c r="F155" s="216"/>
      <c r="G155" s="216"/>
      <c r="H155" s="187"/>
      <c r="I155" s="187"/>
      <c r="J155" s="216"/>
      <c r="K155" s="216"/>
      <c r="L155" s="216"/>
      <c r="M155" s="216"/>
      <c r="N155" s="216"/>
      <c r="O155" s="216"/>
      <c r="P155" s="216"/>
    </row>
    <row r="156" spans="1:16" ht="12.75">
      <c r="A156" s="213"/>
      <c r="B156" s="214"/>
      <c r="C156" s="213"/>
      <c r="D156" s="215"/>
      <c r="E156" s="216"/>
      <c r="F156" s="216"/>
      <c r="G156" s="216"/>
      <c r="H156" s="187"/>
      <c r="I156" s="187"/>
      <c r="J156" s="216"/>
      <c r="K156" s="216"/>
      <c r="L156" s="216"/>
      <c r="M156" s="216"/>
      <c r="N156" s="216"/>
      <c r="O156" s="216"/>
      <c r="P156" s="216"/>
    </row>
    <row r="157" spans="1:16" ht="12.75">
      <c r="A157" s="213"/>
      <c r="B157" s="214"/>
      <c r="C157" s="213"/>
      <c r="D157" s="215"/>
      <c r="E157" s="216"/>
      <c r="F157" s="216"/>
      <c r="G157" s="216"/>
      <c r="H157" s="187"/>
      <c r="I157" s="187"/>
      <c r="J157" s="216"/>
      <c r="K157" s="216"/>
      <c r="L157" s="216"/>
      <c r="M157" s="216"/>
      <c r="N157" s="216"/>
      <c r="O157" s="216"/>
      <c r="P157" s="216"/>
    </row>
    <row r="158" spans="1:16" ht="12.75">
      <c r="A158" s="213"/>
      <c r="B158" s="214"/>
      <c r="C158" s="213"/>
      <c r="D158" s="215"/>
      <c r="E158" s="216"/>
      <c r="F158" s="216"/>
      <c r="G158" s="216"/>
      <c r="H158" s="187"/>
      <c r="I158" s="187"/>
      <c r="J158" s="216"/>
      <c r="K158" s="216"/>
      <c r="L158" s="216"/>
      <c r="M158" s="216"/>
      <c r="N158" s="216"/>
      <c r="O158" s="216"/>
      <c r="P158" s="216"/>
    </row>
    <row r="159" spans="1:16" ht="12.75">
      <c r="A159" s="213"/>
      <c r="B159" s="214"/>
      <c r="C159" s="213"/>
      <c r="D159" s="215"/>
      <c r="E159" s="216"/>
      <c r="F159" s="216"/>
      <c r="G159" s="216"/>
      <c r="H159" s="187"/>
      <c r="I159" s="187"/>
      <c r="J159" s="216"/>
      <c r="K159" s="216"/>
      <c r="L159" s="216"/>
      <c r="M159" s="216"/>
      <c r="N159" s="216"/>
      <c r="O159" s="216"/>
      <c r="P159" s="216"/>
    </row>
    <row r="160" spans="1:16" ht="12.75">
      <c r="A160" s="213"/>
      <c r="B160" s="214"/>
      <c r="C160" s="213"/>
      <c r="D160" s="215"/>
      <c r="E160" s="216"/>
      <c r="F160" s="216"/>
      <c r="G160" s="216"/>
      <c r="H160" s="187"/>
      <c r="I160" s="187"/>
      <c r="J160" s="216"/>
      <c r="K160" s="216"/>
      <c r="L160" s="216"/>
      <c r="M160" s="216"/>
      <c r="N160" s="216"/>
      <c r="O160" s="216"/>
      <c r="P160" s="216"/>
    </row>
    <row r="161" spans="1:16" ht="12.75">
      <c r="A161" s="213"/>
      <c r="B161" s="214"/>
      <c r="C161" s="213"/>
      <c r="D161" s="215"/>
      <c r="E161" s="216"/>
      <c r="F161" s="216"/>
      <c r="G161" s="216"/>
      <c r="H161" s="187"/>
      <c r="I161" s="187"/>
      <c r="J161" s="216"/>
      <c r="K161" s="216"/>
      <c r="L161" s="216"/>
      <c r="M161" s="216"/>
      <c r="N161" s="216"/>
      <c r="O161" s="216"/>
      <c r="P161" s="216"/>
    </row>
    <row r="162" spans="1:16" ht="12.75">
      <c r="A162" s="213"/>
      <c r="B162" s="214"/>
      <c r="C162" s="213"/>
      <c r="D162" s="215"/>
      <c r="E162" s="216"/>
      <c r="F162" s="216"/>
      <c r="G162" s="216"/>
      <c r="H162" s="187"/>
      <c r="I162" s="187"/>
      <c r="J162" s="216"/>
      <c r="K162" s="216"/>
      <c r="L162" s="216"/>
      <c r="M162" s="216"/>
      <c r="N162" s="216"/>
      <c r="O162" s="216"/>
      <c r="P162" s="216"/>
    </row>
    <row r="163" spans="1:16" ht="12.75">
      <c r="A163" s="213"/>
      <c r="B163" s="214"/>
      <c r="C163" s="213"/>
      <c r="D163" s="215"/>
      <c r="E163" s="216"/>
      <c r="F163" s="216"/>
      <c r="G163" s="216"/>
      <c r="H163" s="187"/>
      <c r="I163" s="187"/>
      <c r="J163" s="216"/>
      <c r="K163" s="216"/>
      <c r="L163" s="216"/>
      <c r="M163" s="216"/>
      <c r="N163" s="216"/>
      <c r="O163" s="216"/>
      <c r="P163" s="216"/>
    </row>
    <row r="164" spans="1:16" ht="12.75">
      <c r="A164" s="213"/>
      <c r="B164" s="214"/>
      <c r="C164" s="213"/>
      <c r="D164" s="215"/>
      <c r="E164" s="216"/>
      <c r="F164" s="216"/>
      <c r="G164" s="216"/>
      <c r="H164" s="187"/>
      <c r="I164" s="187"/>
      <c r="J164" s="216"/>
      <c r="K164" s="216"/>
      <c r="L164" s="216"/>
      <c r="M164" s="216"/>
      <c r="N164" s="216"/>
      <c r="O164" s="216"/>
      <c r="P164" s="216"/>
    </row>
    <row r="165" spans="1:16" ht="12.75">
      <c r="A165" s="213"/>
      <c r="B165" s="214"/>
      <c r="C165" s="213"/>
      <c r="D165" s="215"/>
      <c r="E165" s="216"/>
      <c r="F165" s="216"/>
      <c r="G165" s="216"/>
      <c r="H165" s="187"/>
      <c r="I165" s="187"/>
      <c r="J165" s="216"/>
      <c r="K165" s="216"/>
      <c r="L165" s="216"/>
      <c r="M165" s="216"/>
      <c r="N165" s="216"/>
      <c r="O165" s="216"/>
      <c r="P165" s="216"/>
    </row>
    <row r="166" spans="1:16" ht="12.75">
      <c r="A166" s="213"/>
      <c r="B166" s="214"/>
      <c r="C166" s="213"/>
      <c r="D166" s="215"/>
      <c r="E166" s="216"/>
      <c r="F166" s="216"/>
      <c r="G166" s="216"/>
      <c r="H166" s="187"/>
      <c r="I166" s="187"/>
      <c r="J166" s="216"/>
      <c r="K166" s="216"/>
      <c r="L166" s="216"/>
      <c r="M166" s="216"/>
      <c r="N166" s="216"/>
      <c r="O166" s="216"/>
      <c r="P166" s="216"/>
    </row>
    <row r="167" spans="1:16" ht="12.75">
      <c r="A167" s="213"/>
      <c r="B167" s="214"/>
      <c r="C167" s="213"/>
      <c r="D167" s="215"/>
      <c r="E167" s="216"/>
      <c r="F167" s="216"/>
      <c r="G167" s="216"/>
      <c r="H167" s="187"/>
      <c r="I167" s="187"/>
      <c r="J167" s="216"/>
      <c r="K167" s="216"/>
      <c r="L167" s="216"/>
      <c r="M167" s="216"/>
      <c r="N167" s="216"/>
      <c r="O167" s="216"/>
      <c r="P167" s="216"/>
    </row>
    <row r="168" spans="1:16" ht="12.75">
      <c r="A168" s="213"/>
      <c r="B168" s="214"/>
      <c r="C168" s="213"/>
      <c r="D168" s="215"/>
      <c r="E168" s="216"/>
      <c r="F168" s="216"/>
      <c r="G168" s="216"/>
      <c r="H168" s="187"/>
      <c r="I168" s="187"/>
      <c r="J168" s="216"/>
      <c r="K168" s="216"/>
      <c r="L168" s="216"/>
      <c r="M168" s="216"/>
      <c r="N168" s="216"/>
      <c r="O168" s="216"/>
      <c r="P168" s="216"/>
    </row>
    <row r="169" spans="1:16" ht="12.75">
      <c r="A169" s="213"/>
      <c r="B169" s="214"/>
      <c r="C169" s="213"/>
      <c r="D169" s="215"/>
      <c r="E169" s="216"/>
      <c r="F169" s="216"/>
      <c r="G169" s="216"/>
      <c r="H169" s="187"/>
      <c r="I169" s="187"/>
      <c r="J169" s="216"/>
      <c r="K169" s="216"/>
      <c r="L169" s="216"/>
      <c r="M169" s="216"/>
      <c r="N169" s="216"/>
      <c r="O169" s="216"/>
      <c r="P169" s="216"/>
    </row>
    <row r="170" spans="1:16" ht="12.75">
      <c r="A170" s="213"/>
      <c r="B170" s="214"/>
      <c r="C170" s="213"/>
      <c r="D170" s="215"/>
      <c r="E170" s="216"/>
      <c r="F170" s="216"/>
      <c r="G170" s="216"/>
      <c r="H170" s="187"/>
      <c r="I170" s="187"/>
      <c r="J170" s="216"/>
      <c r="K170" s="216"/>
      <c r="L170" s="216"/>
      <c r="M170" s="216"/>
      <c r="N170" s="216"/>
      <c r="O170" s="216"/>
      <c r="P170" s="216"/>
    </row>
    <row r="171" spans="1:16" ht="12.75">
      <c r="A171" s="213"/>
      <c r="B171" s="214"/>
      <c r="C171" s="213"/>
      <c r="D171" s="215"/>
      <c r="E171" s="216"/>
      <c r="F171" s="216"/>
      <c r="G171" s="216"/>
      <c r="H171" s="187"/>
      <c r="I171" s="187"/>
      <c r="J171" s="216"/>
      <c r="K171" s="216"/>
      <c r="L171" s="216"/>
      <c r="M171" s="216"/>
      <c r="N171" s="216"/>
      <c r="O171" s="216"/>
      <c r="P171" s="216"/>
    </row>
    <row r="172" spans="1:16" ht="12.75">
      <c r="A172" s="213"/>
      <c r="B172" s="214"/>
      <c r="C172" s="213"/>
      <c r="D172" s="215"/>
      <c r="E172" s="216"/>
      <c r="F172" s="216"/>
      <c r="G172" s="216"/>
      <c r="H172" s="187"/>
      <c r="I172" s="187"/>
      <c r="J172" s="216"/>
      <c r="K172" s="216"/>
      <c r="L172" s="216"/>
      <c r="M172" s="216"/>
      <c r="N172" s="216"/>
      <c r="O172" s="216"/>
      <c r="P172" s="216"/>
    </row>
    <row r="173" spans="1:16" ht="12.75">
      <c r="A173" s="213"/>
      <c r="B173" s="214"/>
      <c r="C173" s="213"/>
      <c r="D173" s="215"/>
      <c r="E173" s="216"/>
      <c r="F173" s="216"/>
      <c r="G173" s="216"/>
      <c r="H173" s="187"/>
      <c r="I173" s="187"/>
      <c r="J173" s="216"/>
      <c r="K173" s="216"/>
      <c r="L173" s="216"/>
      <c r="M173" s="216"/>
      <c r="N173" s="216"/>
      <c r="O173" s="216"/>
      <c r="P173" s="216"/>
    </row>
    <row r="174" spans="1:16" ht="12.75">
      <c r="A174" s="213"/>
      <c r="B174" s="214"/>
      <c r="C174" s="213"/>
      <c r="D174" s="215"/>
      <c r="E174" s="216"/>
      <c r="F174" s="216"/>
      <c r="G174" s="216"/>
      <c r="H174" s="187"/>
      <c r="I174" s="187"/>
      <c r="J174" s="216"/>
      <c r="K174" s="216"/>
      <c r="L174" s="216"/>
      <c r="M174" s="216"/>
      <c r="N174" s="216"/>
      <c r="O174" s="216"/>
      <c r="P174" s="216"/>
    </row>
    <row r="175" spans="1:16" ht="12.75">
      <c r="A175" s="213"/>
      <c r="B175" s="214"/>
      <c r="C175" s="213"/>
      <c r="D175" s="215"/>
      <c r="E175" s="216"/>
      <c r="F175" s="216"/>
      <c r="G175" s="216"/>
      <c r="H175" s="187"/>
      <c r="I175" s="187"/>
      <c r="J175" s="216"/>
      <c r="K175" s="216"/>
      <c r="L175" s="216"/>
      <c r="M175" s="216"/>
      <c r="N175" s="216"/>
      <c r="O175" s="216"/>
      <c r="P175" s="216"/>
    </row>
    <row r="176" spans="1:16" ht="12.75">
      <c r="A176" s="213"/>
      <c r="B176" s="214"/>
      <c r="C176" s="213"/>
      <c r="D176" s="215"/>
      <c r="E176" s="216"/>
      <c r="F176" s="216"/>
      <c r="G176" s="216"/>
      <c r="H176" s="187"/>
      <c r="I176" s="187"/>
      <c r="J176" s="216"/>
      <c r="K176" s="216"/>
      <c r="L176" s="216"/>
      <c r="M176" s="216"/>
      <c r="N176" s="216"/>
      <c r="O176" s="216"/>
      <c r="P176" s="216"/>
    </row>
    <row r="177" spans="1:16" ht="12.75">
      <c r="A177" s="213"/>
      <c r="B177" s="214"/>
      <c r="C177" s="213"/>
      <c r="D177" s="215"/>
      <c r="E177" s="216"/>
      <c r="F177" s="216"/>
      <c r="G177" s="216"/>
      <c r="H177" s="187"/>
      <c r="I177" s="187"/>
      <c r="J177" s="216"/>
      <c r="K177" s="216"/>
      <c r="L177" s="216"/>
      <c r="M177" s="216"/>
      <c r="N177" s="216"/>
      <c r="O177" s="216"/>
      <c r="P177" s="216"/>
    </row>
    <row r="178" spans="1:16" ht="12.75">
      <c r="A178" s="213"/>
      <c r="B178" s="214"/>
      <c r="C178" s="213"/>
      <c r="D178" s="215"/>
      <c r="E178" s="216"/>
      <c r="F178" s="216"/>
      <c r="G178" s="216"/>
      <c r="H178" s="187"/>
      <c r="I178" s="187"/>
      <c r="J178" s="216"/>
      <c r="K178" s="216"/>
      <c r="L178" s="216"/>
      <c r="M178" s="216"/>
      <c r="N178" s="216"/>
      <c r="O178" s="216"/>
      <c r="P178" s="216"/>
    </row>
    <row r="179" spans="1:16" ht="12.75">
      <c r="A179" s="213"/>
      <c r="B179" s="214"/>
      <c r="C179" s="213"/>
      <c r="D179" s="215"/>
      <c r="E179" s="216"/>
      <c r="F179" s="216"/>
      <c r="G179" s="216"/>
      <c r="H179" s="187"/>
      <c r="I179" s="187"/>
      <c r="J179" s="216"/>
      <c r="K179" s="216"/>
      <c r="L179" s="216"/>
      <c r="M179" s="216"/>
      <c r="N179" s="216"/>
      <c r="O179" s="216"/>
      <c r="P179" s="216"/>
    </row>
    <row r="180" spans="1:16" ht="12.75">
      <c r="A180" s="213"/>
      <c r="B180" s="214"/>
      <c r="C180" s="213"/>
      <c r="D180" s="215"/>
      <c r="E180" s="216"/>
      <c r="F180" s="216"/>
      <c r="G180" s="216"/>
      <c r="H180" s="187"/>
      <c r="I180" s="187"/>
      <c r="J180" s="216"/>
      <c r="K180" s="216"/>
      <c r="L180" s="216"/>
      <c r="M180" s="216"/>
      <c r="N180" s="216"/>
      <c r="O180" s="216"/>
      <c r="P180" s="216"/>
    </row>
    <row r="181" spans="1:16" ht="12.75">
      <c r="A181" s="213"/>
      <c r="B181" s="214"/>
      <c r="C181" s="213"/>
      <c r="D181" s="215"/>
      <c r="E181" s="216"/>
      <c r="F181" s="216"/>
      <c r="G181" s="216"/>
      <c r="H181" s="187"/>
      <c r="I181" s="187"/>
      <c r="J181" s="216"/>
      <c r="K181" s="216"/>
      <c r="L181" s="216"/>
      <c r="M181" s="216"/>
      <c r="N181" s="216"/>
      <c r="O181" s="216"/>
      <c r="P181" s="216"/>
    </row>
    <row r="182" spans="1:16" ht="12.75">
      <c r="A182" s="213"/>
      <c r="B182" s="214"/>
      <c r="C182" s="213"/>
      <c r="D182" s="215"/>
      <c r="E182" s="216"/>
      <c r="F182" s="216"/>
      <c r="G182" s="216"/>
      <c r="H182" s="187"/>
      <c r="I182" s="187"/>
      <c r="J182" s="216"/>
      <c r="K182" s="216"/>
      <c r="L182" s="216"/>
      <c r="M182" s="216"/>
      <c r="N182" s="216"/>
      <c r="O182" s="216"/>
      <c r="P182" s="216"/>
    </row>
    <row r="183" spans="1:16" ht="12.75">
      <c r="A183" s="213"/>
      <c r="B183" s="214"/>
      <c r="C183" s="213"/>
      <c r="D183" s="215"/>
      <c r="E183" s="216"/>
      <c r="F183" s="216"/>
      <c r="G183" s="216"/>
      <c r="H183" s="187"/>
      <c r="I183" s="187"/>
      <c r="J183" s="216"/>
      <c r="K183" s="216"/>
      <c r="L183" s="216"/>
      <c r="M183" s="216"/>
      <c r="N183" s="216"/>
      <c r="O183" s="216"/>
      <c r="P183" s="216"/>
    </row>
    <row r="184" spans="1:16" ht="12.75">
      <c r="A184" s="213"/>
      <c r="B184" s="214"/>
      <c r="C184" s="213"/>
      <c r="D184" s="215"/>
      <c r="E184" s="216"/>
      <c r="F184" s="216"/>
      <c r="G184" s="216"/>
      <c r="H184" s="187"/>
      <c r="I184" s="187"/>
      <c r="J184" s="216"/>
      <c r="K184" s="216"/>
      <c r="L184" s="216"/>
      <c r="M184" s="216"/>
      <c r="N184" s="216"/>
      <c r="O184" s="216"/>
      <c r="P184" s="216"/>
    </row>
    <row r="185" spans="1:16" ht="12.75">
      <c r="A185" s="213"/>
      <c r="B185" s="214"/>
      <c r="C185" s="213"/>
      <c r="D185" s="215"/>
      <c r="E185" s="216"/>
      <c r="F185" s="216"/>
      <c r="G185" s="216"/>
      <c r="H185" s="187"/>
      <c r="I185" s="187"/>
      <c r="J185" s="216"/>
      <c r="K185" s="216"/>
      <c r="L185" s="216"/>
      <c r="M185" s="216"/>
      <c r="N185" s="216"/>
      <c r="O185" s="216"/>
      <c r="P185" s="216"/>
    </row>
    <row r="186" spans="1:16" ht="12.75">
      <c r="A186" s="213"/>
      <c r="B186" s="214"/>
      <c r="C186" s="213"/>
      <c r="D186" s="215"/>
      <c r="E186" s="216"/>
      <c r="F186" s="216"/>
      <c r="G186" s="216"/>
      <c r="H186" s="187"/>
      <c r="I186" s="187"/>
      <c r="J186" s="216"/>
      <c r="K186" s="216"/>
      <c r="L186" s="216"/>
      <c r="M186" s="216"/>
      <c r="N186" s="216"/>
      <c r="O186" s="216"/>
      <c r="P186" s="216"/>
    </row>
    <row r="187" spans="1:16" ht="12.75">
      <c r="A187" s="213"/>
      <c r="B187" s="214"/>
      <c r="C187" s="213"/>
      <c r="D187" s="215"/>
      <c r="E187" s="216"/>
      <c r="F187" s="216"/>
      <c r="G187" s="216"/>
      <c r="H187" s="187"/>
      <c r="I187" s="187"/>
      <c r="J187" s="216"/>
      <c r="K187" s="216"/>
      <c r="L187" s="216"/>
      <c r="M187" s="216"/>
      <c r="N187" s="216"/>
      <c r="O187" s="216"/>
      <c r="P187" s="216"/>
    </row>
    <row r="188" spans="1:16" ht="12.75">
      <c r="A188" s="213"/>
      <c r="B188" s="214"/>
      <c r="C188" s="213"/>
      <c r="D188" s="215"/>
      <c r="E188" s="216"/>
      <c r="F188" s="216"/>
      <c r="G188" s="216"/>
      <c r="H188" s="187"/>
      <c r="I188" s="187"/>
      <c r="J188" s="216"/>
      <c r="K188" s="216"/>
      <c r="L188" s="216"/>
      <c r="M188" s="216"/>
      <c r="N188" s="216"/>
      <c r="O188" s="216"/>
      <c r="P188" s="216"/>
    </row>
    <row r="189" spans="1:16" ht="12.75">
      <c r="A189" s="213"/>
      <c r="B189" s="214"/>
      <c r="C189" s="213"/>
      <c r="D189" s="215"/>
      <c r="E189" s="216"/>
      <c r="F189" s="216"/>
      <c r="G189" s="216"/>
      <c r="H189" s="187"/>
      <c r="I189" s="187"/>
      <c r="J189" s="216"/>
      <c r="K189" s="216"/>
      <c r="L189" s="216"/>
      <c r="M189" s="216"/>
      <c r="N189" s="216"/>
      <c r="O189" s="216"/>
      <c r="P189" s="216"/>
    </row>
    <row r="190" spans="1:16" ht="12.75">
      <c r="A190" s="213"/>
      <c r="B190" s="214"/>
      <c r="C190" s="213"/>
      <c r="D190" s="215"/>
      <c r="E190" s="216"/>
      <c r="F190" s="216"/>
      <c r="G190" s="216"/>
      <c r="H190" s="187"/>
      <c r="I190" s="187"/>
      <c r="J190" s="216"/>
      <c r="K190" s="216"/>
      <c r="L190" s="216"/>
      <c r="M190" s="216"/>
      <c r="N190" s="216"/>
      <c r="O190" s="216"/>
      <c r="P190" s="216"/>
    </row>
    <row r="191" spans="1:16" ht="12.75">
      <c r="A191" s="213"/>
      <c r="B191" s="214"/>
      <c r="C191" s="213"/>
      <c r="D191" s="215"/>
      <c r="E191" s="216"/>
      <c r="F191" s="216"/>
      <c r="G191" s="216"/>
      <c r="H191" s="187"/>
      <c r="I191" s="187"/>
      <c r="J191" s="216"/>
      <c r="K191" s="216"/>
      <c r="L191" s="216"/>
      <c r="M191" s="216"/>
      <c r="N191" s="216"/>
      <c r="O191" s="216"/>
      <c r="P191" s="216"/>
    </row>
    <row r="192" spans="1:16" ht="12.75">
      <c r="A192" s="213"/>
      <c r="B192" s="214"/>
      <c r="C192" s="213"/>
      <c r="D192" s="215"/>
      <c r="E192" s="216"/>
      <c r="F192" s="216"/>
      <c r="G192" s="216"/>
      <c r="H192" s="187"/>
      <c r="I192" s="187"/>
      <c r="J192" s="216"/>
      <c r="K192" s="216"/>
      <c r="L192" s="216"/>
      <c r="M192" s="216"/>
      <c r="N192" s="216"/>
      <c r="O192" s="216"/>
      <c r="P192" s="216"/>
    </row>
    <row r="193" spans="1:16" ht="12.75">
      <c r="A193" s="213"/>
      <c r="B193" s="214"/>
      <c r="C193" s="213"/>
      <c r="D193" s="215"/>
      <c r="E193" s="216"/>
      <c r="F193" s="216"/>
      <c r="G193" s="216"/>
      <c r="H193" s="187"/>
      <c r="I193" s="187"/>
      <c r="J193" s="216"/>
      <c r="K193" s="216"/>
      <c r="L193" s="216"/>
      <c r="M193" s="216"/>
      <c r="N193" s="216"/>
      <c r="O193" s="216"/>
      <c r="P193" s="216"/>
    </row>
    <row r="194" spans="1:16" ht="12.75">
      <c r="A194" s="213"/>
      <c r="B194" s="214"/>
      <c r="C194" s="213"/>
      <c r="D194" s="215"/>
      <c r="E194" s="216"/>
      <c r="F194" s="216"/>
      <c r="G194" s="216"/>
      <c r="H194" s="187"/>
      <c r="I194" s="187"/>
      <c r="J194" s="216"/>
      <c r="K194" s="216"/>
      <c r="L194" s="216"/>
      <c r="M194" s="216"/>
      <c r="N194" s="216"/>
      <c r="O194" s="216"/>
      <c r="P194" s="216"/>
    </row>
    <row r="195" spans="1:16" ht="12.75">
      <c r="A195" s="213"/>
      <c r="B195" s="214"/>
      <c r="C195" s="213"/>
      <c r="D195" s="215"/>
      <c r="E195" s="216"/>
      <c r="F195" s="216"/>
      <c r="G195" s="216"/>
      <c r="H195" s="187"/>
      <c r="I195" s="187"/>
      <c r="J195" s="216"/>
      <c r="K195" s="216"/>
      <c r="L195" s="216"/>
      <c r="M195" s="216"/>
      <c r="N195" s="216"/>
      <c r="O195" s="216"/>
      <c r="P195" s="216"/>
    </row>
    <row r="196" spans="1:16" ht="12.75">
      <c r="A196" s="213"/>
      <c r="B196" s="214"/>
      <c r="C196" s="213"/>
      <c r="D196" s="215"/>
      <c r="E196" s="216"/>
      <c r="F196" s="216"/>
      <c r="G196" s="216"/>
      <c r="H196" s="187"/>
      <c r="I196" s="187"/>
      <c r="J196" s="216"/>
      <c r="K196" s="216"/>
      <c r="L196" s="216"/>
      <c r="M196" s="216"/>
      <c r="N196" s="216"/>
      <c r="O196" s="216"/>
      <c r="P196" s="216"/>
    </row>
    <row r="197" spans="1:16" ht="12.75">
      <c r="A197" s="213"/>
      <c r="B197" s="214"/>
      <c r="C197" s="213"/>
      <c r="D197" s="215"/>
      <c r="E197" s="216"/>
      <c r="F197" s="216"/>
      <c r="G197" s="216"/>
      <c r="H197" s="187"/>
      <c r="I197" s="187"/>
      <c r="J197" s="216"/>
      <c r="K197" s="216"/>
      <c r="L197" s="216"/>
      <c r="M197" s="216"/>
      <c r="N197" s="216"/>
      <c r="O197" s="216"/>
      <c r="P197" s="216"/>
    </row>
    <row r="198" spans="1:16" ht="12.75">
      <c r="A198" s="213"/>
      <c r="B198" s="214"/>
      <c r="C198" s="213"/>
      <c r="D198" s="215"/>
      <c r="E198" s="216"/>
      <c r="F198" s="216"/>
      <c r="G198" s="216"/>
      <c r="H198" s="187"/>
      <c r="I198" s="187"/>
      <c r="J198" s="216"/>
      <c r="K198" s="216"/>
      <c r="L198" s="216"/>
      <c r="M198" s="216"/>
      <c r="N198" s="216"/>
      <c r="O198" s="216"/>
      <c r="P198" s="216"/>
    </row>
    <row r="199" spans="1:16" ht="12.75">
      <c r="A199" s="213"/>
      <c r="B199" s="214"/>
      <c r="C199" s="213"/>
      <c r="D199" s="215"/>
      <c r="E199" s="216"/>
      <c r="F199" s="216"/>
      <c r="G199" s="216"/>
      <c r="H199" s="187"/>
      <c r="I199" s="187"/>
      <c r="J199" s="216"/>
      <c r="K199" s="216"/>
      <c r="L199" s="216"/>
      <c r="M199" s="216"/>
      <c r="N199" s="216"/>
      <c r="O199" s="216"/>
      <c r="P199" s="216"/>
    </row>
    <row r="200" spans="1:16" ht="12.75">
      <c r="A200" s="213"/>
      <c r="B200" s="214"/>
      <c r="C200" s="213"/>
      <c r="D200" s="215"/>
      <c r="E200" s="216"/>
      <c r="F200" s="216"/>
      <c r="G200" s="216"/>
      <c r="H200" s="187"/>
      <c r="I200" s="187"/>
      <c r="J200" s="216"/>
      <c r="K200" s="216"/>
      <c r="L200" s="216"/>
      <c r="M200" s="216"/>
      <c r="N200" s="216"/>
      <c r="O200" s="216"/>
      <c r="P200" s="216"/>
    </row>
    <row r="201" spans="1:16" ht="12.75">
      <c r="A201" s="213"/>
      <c r="B201" s="214"/>
      <c r="C201" s="213"/>
      <c r="D201" s="215"/>
      <c r="E201" s="216"/>
      <c r="F201" s="216"/>
      <c r="G201" s="216"/>
      <c r="H201" s="187"/>
      <c r="I201" s="187"/>
      <c r="J201" s="216"/>
      <c r="K201" s="216"/>
      <c r="L201" s="216"/>
      <c r="M201" s="216"/>
      <c r="N201" s="216"/>
      <c r="O201" s="216"/>
      <c r="P201" s="216"/>
    </row>
    <row r="202" spans="1:16" ht="12.75">
      <c r="A202" s="213"/>
      <c r="B202" s="214"/>
      <c r="C202" s="213"/>
      <c r="D202" s="215"/>
      <c r="E202" s="216"/>
      <c r="F202" s="216"/>
      <c r="G202" s="216"/>
      <c r="H202" s="187"/>
      <c r="I202" s="187"/>
      <c r="J202" s="216"/>
      <c r="K202" s="216"/>
      <c r="L202" s="216"/>
      <c r="M202" s="216"/>
      <c r="N202" s="216"/>
      <c r="O202" s="216"/>
      <c r="P202" s="216"/>
    </row>
    <row r="203" spans="1:16" ht="12.75">
      <c r="A203" s="213"/>
      <c r="B203" s="214"/>
      <c r="C203" s="213"/>
      <c r="D203" s="215"/>
      <c r="E203" s="216"/>
      <c r="F203" s="216"/>
      <c r="G203" s="216"/>
      <c r="H203" s="187"/>
      <c r="I203" s="187"/>
      <c r="J203" s="216"/>
      <c r="K203" s="216"/>
      <c r="L203" s="216"/>
      <c r="M203" s="216"/>
      <c r="N203" s="216"/>
      <c r="O203" s="216"/>
      <c r="P203" s="216"/>
    </row>
    <row r="204" spans="1:16" ht="12.75">
      <c r="A204" s="213"/>
      <c r="B204" s="214"/>
      <c r="C204" s="213"/>
      <c r="D204" s="215"/>
      <c r="E204" s="216"/>
      <c r="F204" s="216"/>
      <c r="G204" s="216"/>
      <c r="H204" s="187"/>
      <c r="I204" s="187"/>
      <c r="J204" s="216"/>
      <c r="K204" s="216"/>
      <c r="L204" s="216"/>
      <c r="M204" s="216"/>
      <c r="N204" s="216"/>
      <c r="O204" s="216"/>
      <c r="P204" s="216"/>
    </row>
    <row r="205" spans="1:16" ht="12.75">
      <c r="A205" s="213"/>
      <c r="B205" s="214"/>
      <c r="C205" s="213"/>
      <c r="D205" s="215"/>
      <c r="E205" s="216"/>
      <c r="F205" s="216"/>
      <c r="G205" s="216"/>
      <c r="H205" s="187"/>
      <c r="I205" s="187"/>
      <c r="J205" s="216"/>
      <c r="K205" s="216"/>
      <c r="L205" s="216"/>
      <c r="M205" s="216"/>
      <c r="N205" s="216"/>
      <c r="O205" s="216"/>
      <c r="P205" s="216"/>
    </row>
    <row r="206" spans="1:16" ht="12.75">
      <c r="A206" s="213"/>
      <c r="B206" s="214"/>
      <c r="C206" s="213"/>
      <c r="D206" s="215"/>
      <c r="E206" s="216"/>
      <c r="F206" s="216"/>
      <c r="G206" s="216"/>
      <c r="H206" s="187"/>
      <c r="I206" s="187"/>
      <c r="J206" s="216"/>
      <c r="K206" s="216"/>
      <c r="L206" s="216"/>
      <c r="M206" s="216"/>
      <c r="N206" s="216"/>
      <c r="O206" s="216"/>
      <c r="P206" s="216"/>
    </row>
    <row r="207" spans="1:16" ht="12.75">
      <c r="A207" s="213"/>
      <c r="B207" s="214"/>
      <c r="C207" s="213"/>
      <c r="D207" s="215"/>
      <c r="E207" s="216"/>
      <c r="F207" s="216"/>
      <c r="G207" s="216"/>
      <c r="H207" s="187"/>
      <c r="I207" s="187"/>
      <c r="J207" s="216"/>
      <c r="K207" s="216"/>
      <c r="L207" s="216"/>
      <c r="M207" s="216"/>
      <c r="N207" s="216"/>
      <c r="O207" s="216"/>
      <c r="P207" s="216"/>
    </row>
    <row r="208" spans="1:16" ht="12.75">
      <c r="A208" s="213"/>
      <c r="B208" s="214"/>
      <c r="C208" s="213"/>
      <c r="D208" s="215"/>
      <c r="E208" s="216"/>
      <c r="F208" s="216"/>
      <c r="G208" s="216"/>
      <c r="H208" s="187"/>
      <c r="I208" s="187"/>
      <c r="J208" s="216"/>
      <c r="K208" s="216"/>
      <c r="L208" s="216"/>
      <c r="M208" s="216"/>
      <c r="N208" s="216"/>
      <c r="O208" s="216"/>
      <c r="P208" s="216"/>
    </row>
    <row r="209" spans="1:16" ht="12.75">
      <c r="A209" s="213"/>
      <c r="B209" s="214"/>
      <c r="C209" s="213"/>
      <c r="D209" s="215"/>
      <c r="E209" s="216"/>
      <c r="F209" s="216"/>
      <c r="G209" s="216"/>
      <c r="H209" s="187"/>
      <c r="I209" s="187"/>
      <c r="J209" s="216"/>
      <c r="K209" s="216"/>
      <c r="L209" s="216"/>
      <c r="M209" s="216"/>
      <c r="N209" s="216"/>
      <c r="O209" s="216"/>
      <c r="P209" s="216"/>
    </row>
    <row r="210" spans="1:16" ht="12.75">
      <c r="A210" s="213"/>
      <c r="B210" s="214"/>
      <c r="C210" s="213"/>
      <c r="D210" s="215"/>
      <c r="E210" s="216"/>
      <c r="F210" s="216"/>
      <c r="G210" s="216"/>
      <c r="H210" s="187"/>
      <c r="I210" s="187"/>
      <c r="J210" s="216"/>
      <c r="K210" s="216"/>
      <c r="L210" s="216"/>
      <c r="M210" s="216"/>
      <c r="N210" s="216"/>
      <c r="O210" s="216"/>
      <c r="P210" s="216"/>
    </row>
    <row r="211" spans="1:16" ht="12.75">
      <c r="A211" s="213"/>
      <c r="B211" s="214"/>
      <c r="C211" s="213"/>
      <c r="D211" s="215"/>
      <c r="E211" s="216"/>
      <c r="F211" s="216"/>
      <c r="G211" s="216"/>
      <c r="H211" s="187"/>
      <c r="I211" s="187"/>
      <c r="J211" s="216"/>
      <c r="K211" s="216"/>
      <c r="L211" s="216"/>
      <c r="M211" s="216"/>
      <c r="N211" s="216"/>
      <c r="O211" s="216"/>
      <c r="P211" s="216"/>
    </row>
    <row r="212" spans="1:16" ht="12.75">
      <c r="A212" s="213"/>
      <c r="B212" s="214"/>
      <c r="C212" s="213"/>
      <c r="D212" s="215"/>
      <c r="E212" s="216"/>
      <c r="F212" s="216"/>
      <c r="G212" s="216"/>
      <c r="H212" s="187"/>
      <c r="I212" s="187"/>
      <c r="J212" s="216"/>
      <c r="K212" s="216"/>
      <c r="L212" s="216"/>
      <c r="M212" s="216"/>
      <c r="N212" s="216"/>
      <c r="O212" s="216"/>
      <c r="P212" s="216"/>
    </row>
    <row r="213" spans="1:16" ht="12.75">
      <c r="A213" s="213"/>
      <c r="B213" s="214"/>
      <c r="C213" s="213"/>
      <c r="D213" s="215"/>
      <c r="E213" s="216"/>
      <c r="F213" s="216"/>
      <c r="G213" s="216"/>
      <c r="H213" s="187"/>
      <c r="I213" s="187"/>
      <c r="J213" s="216"/>
      <c r="K213" s="216"/>
      <c r="L213" s="216"/>
      <c r="M213" s="216"/>
      <c r="N213" s="216"/>
      <c r="O213" s="216"/>
      <c r="P213" s="216"/>
    </row>
    <row r="214" spans="1:16" ht="12.75">
      <c r="A214" s="213"/>
      <c r="B214" s="214"/>
      <c r="C214" s="213"/>
      <c r="D214" s="215"/>
      <c r="E214" s="216"/>
      <c r="F214" s="216"/>
      <c r="G214" s="216"/>
      <c r="H214" s="187"/>
      <c r="I214" s="187"/>
      <c r="J214" s="216"/>
      <c r="K214" s="216"/>
      <c r="L214" s="216"/>
      <c r="M214" s="216"/>
      <c r="N214" s="216"/>
      <c r="O214" s="216"/>
      <c r="P214" s="216"/>
    </row>
    <row r="215" spans="1:16" ht="12.75">
      <c r="A215" s="213"/>
      <c r="B215" s="214"/>
      <c r="C215" s="213"/>
      <c r="D215" s="215"/>
      <c r="E215" s="216"/>
      <c r="F215" s="216"/>
      <c r="G215" s="216"/>
      <c r="H215" s="187"/>
      <c r="I215" s="187"/>
      <c r="J215" s="216"/>
      <c r="K215" s="216"/>
      <c r="L215" s="216"/>
      <c r="M215" s="216"/>
      <c r="N215" s="216"/>
      <c r="O215" s="216"/>
      <c r="P215" s="216"/>
    </row>
    <row r="216" spans="1:16" ht="12.75">
      <c r="A216" s="213"/>
      <c r="B216" s="214"/>
      <c r="C216" s="213"/>
      <c r="D216" s="215"/>
      <c r="E216" s="216"/>
      <c r="F216" s="216"/>
      <c r="G216" s="216"/>
      <c r="H216" s="187"/>
      <c r="I216" s="187"/>
      <c r="J216" s="216"/>
      <c r="K216" s="216"/>
      <c r="L216" s="216"/>
      <c r="M216" s="216"/>
      <c r="N216" s="216"/>
      <c r="O216" s="216"/>
      <c r="P216" s="216"/>
    </row>
    <row r="217" spans="1:16" ht="12.75">
      <c r="A217" s="213"/>
      <c r="B217" s="214"/>
      <c r="C217" s="213"/>
      <c r="D217" s="215"/>
      <c r="E217" s="216"/>
      <c r="F217" s="216"/>
      <c r="G217" s="216"/>
      <c r="H217" s="187"/>
      <c r="I217" s="187"/>
      <c r="J217" s="216"/>
      <c r="K217" s="216"/>
      <c r="L217" s="216"/>
      <c r="M217" s="216"/>
      <c r="N217" s="216"/>
      <c r="O217" s="216"/>
      <c r="P217" s="216"/>
    </row>
    <row r="218" spans="1:16" ht="12.75">
      <c r="A218" s="213"/>
      <c r="B218" s="214"/>
      <c r="C218" s="213"/>
      <c r="D218" s="215"/>
      <c r="E218" s="216"/>
      <c r="F218" s="216"/>
      <c r="G218" s="216"/>
      <c r="H218" s="187"/>
      <c r="I218" s="187"/>
      <c r="J218" s="216"/>
      <c r="K218" s="216"/>
      <c r="L218" s="216"/>
      <c r="M218" s="216"/>
      <c r="N218" s="216"/>
      <c r="O218" s="216"/>
      <c r="P218" s="216"/>
    </row>
    <row r="219" spans="1:16" ht="12.75">
      <c r="A219" s="213"/>
      <c r="B219" s="214"/>
      <c r="C219" s="213"/>
      <c r="D219" s="215"/>
      <c r="E219" s="216"/>
      <c r="F219" s="216"/>
      <c r="G219" s="216"/>
      <c r="H219" s="187"/>
      <c r="I219" s="187"/>
      <c r="J219" s="216"/>
      <c r="K219" s="216"/>
      <c r="L219" s="216"/>
      <c r="M219" s="216"/>
      <c r="N219" s="216"/>
      <c r="O219" s="216"/>
      <c r="P219" s="216"/>
    </row>
    <row r="220" spans="1:16" ht="12.75">
      <c r="A220" s="213"/>
      <c r="B220" s="214"/>
      <c r="C220" s="213"/>
      <c r="D220" s="215"/>
      <c r="E220" s="216"/>
      <c r="F220" s="216"/>
      <c r="G220" s="216"/>
      <c r="H220" s="187"/>
      <c r="I220" s="187"/>
      <c r="J220" s="216"/>
      <c r="K220" s="216"/>
      <c r="L220" s="216"/>
      <c r="M220" s="216"/>
      <c r="N220" s="216"/>
      <c r="O220" s="216"/>
      <c r="P220" s="216"/>
    </row>
    <row r="221" spans="1:16" ht="12.75">
      <c r="A221" s="213"/>
      <c r="B221" s="214"/>
      <c r="C221" s="213"/>
      <c r="D221" s="215"/>
      <c r="E221" s="216"/>
      <c r="F221" s="216"/>
      <c r="G221" s="216"/>
      <c r="H221" s="187"/>
      <c r="I221" s="187"/>
      <c r="J221" s="216"/>
      <c r="K221" s="216"/>
      <c r="L221" s="216"/>
      <c r="M221" s="216"/>
      <c r="N221" s="216"/>
      <c r="O221" s="216"/>
      <c r="P221" s="216"/>
    </row>
    <row r="222" spans="1:16" ht="12.75">
      <c r="A222" s="213"/>
      <c r="B222" s="214"/>
      <c r="C222" s="213"/>
      <c r="D222" s="215"/>
      <c r="E222" s="216"/>
      <c r="F222" s="216"/>
      <c r="G222" s="216"/>
      <c r="H222" s="187"/>
      <c r="I222" s="187"/>
      <c r="J222" s="216"/>
      <c r="K222" s="216"/>
      <c r="L222" s="216"/>
      <c r="M222" s="216"/>
      <c r="N222" s="216"/>
      <c r="O222" s="216"/>
      <c r="P222" s="216"/>
    </row>
    <row r="223" spans="1:16" ht="12.75">
      <c r="A223" s="213"/>
      <c r="B223" s="214"/>
      <c r="C223" s="213"/>
      <c r="D223" s="215"/>
      <c r="E223" s="216"/>
      <c r="F223" s="216"/>
      <c r="G223" s="216"/>
      <c r="H223" s="187"/>
      <c r="I223" s="187"/>
      <c r="J223" s="216"/>
      <c r="K223" s="216"/>
      <c r="L223" s="216"/>
      <c r="M223" s="216"/>
      <c r="N223" s="216"/>
      <c r="O223" s="216"/>
      <c r="P223" s="216"/>
    </row>
    <row r="224" spans="1:16" ht="12.75">
      <c r="A224" s="213"/>
      <c r="B224" s="214"/>
      <c r="C224" s="213"/>
      <c r="D224" s="215"/>
      <c r="E224" s="216"/>
      <c r="F224" s="216"/>
      <c r="G224" s="216"/>
      <c r="H224" s="187"/>
      <c r="I224" s="187"/>
      <c r="J224" s="216"/>
      <c r="K224" s="216"/>
      <c r="L224" s="216"/>
      <c r="M224" s="216"/>
      <c r="N224" s="216"/>
      <c r="O224" s="216"/>
      <c r="P224" s="216"/>
    </row>
    <row r="225" spans="1:16" ht="12.75">
      <c r="A225" s="213"/>
      <c r="B225" s="214"/>
      <c r="C225" s="213"/>
      <c r="D225" s="215"/>
      <c r="E225" s="216"/>
      <c r="F225" s="216"/>
      <c r="G225" s="216"/>
      <c r="H225" s="187"/>
      <c r="I225" s="187"/>
      <c r="J225" s="216"/>
      <c r="K225" s="216"/>
      <c r="L225" s="216"/>
      <c r="M225" s="216"/>
      <c r="N225" s="216"/>
      <c r="O225" s="216"/>
      <c r="P225" s="216"/>
    </row>
    <row r="226" spans="1:16" ht="12.75">
      <c r="A226" s="213"/>
      <c r="B226" s="214"/>
      <c r="C226" s="213"/>
      <c r="D226" s="215"/>
      <c r="E226" s="216"/>
      <c r="F226" s="216"/>
      <c r="G226" s="216"/>
      <c r="H226" s="187"/>
      <c r="I226" s="187"/>
      <c r="J226" s="216"/>
      <c r="K226" s="216"/>
      <c r="L226" s="216"/>
      <c r="M226" s="216"/>
      <c r="N226" s="216"/>
      <c r="O226" s="216"/>
      <c r="P226" s="216"/>
    </row>
    <row r="227" spans="1:16" ht="12.75">
      <c r="A227" s="213"/>
      <c r="B227" s="214"/>
      <c r="C227" s="213"/>
      <c r="D227" s="215"/>
      <c r="E227" s="216"/>
      <c r="F227" s="216"/>
      <c r="G227" s="216"/>
      <c r="H227" s="187"/>
      <c r="I227" s="187"/>
      <c r="J227" s="216"/>
      <c r="K227" s="216"/>
      <c r="L227" s="216"/>
      <c r="M227" s="216"/>
      <c r="N227" s="216"/>
      <c r="O227" s="216"/>
      <c r="P227" s="216"/>
    </row>
    <row r="228" spans="1:16" ht="12.75">
      <c r="A228" s="213"/>
      <c r="B228" s="214"/>
      <c r="C228" s="213"/>
      <c r="D228" s="215"/>
      <c r="E228" s="216"/>
      <c r="F228" s="216"/>
      <c r="G228" s="216"/>
      <c r="H228" s="187"/>
      <c r="I228" s="187"/>
      <c r="J228" s="216"/>
      <c r="K228" s="216"/>
      <c r="L228" s="216"/>
      <c r="M228" s="216"/>
      <c r="N228" s="216"/>
      <c r="O228" s="216"/>
      <c r="P228" s="216"/>
    </row>
    <row r="229" spans="1:16" ht="12.75">
      <c r="A229" s="213"/>
      <c r="B229" s="214"/>
      <c r="C229" s="213"/>
      <c r="D229" s="215"/>
      <c r="E229" s="216"/>
      <c r="F229" s="216"/>
      <c r="G229" s="216"/>
      <c r="H229" s="187"/>
      <c r="I229" s="187"/>
      <c r="J229" s="216"/>
      <c r="K229" s="216"/>
      <c r="L229" s="216"/>
      <c r="M229" s="216"/>
      <c r="N229" s="216"/>
      <c r="O229" s="216"/>
      <c r="P229" s="216"/>
    </row>
    <row r="230" spans="1:16" ht="12.75">
      <c r="A230" s="213"/>
      <c r="B230" s="214"/>
      <c r="C230" s="213"/>
      <c r="D230" s="215"/>
      <c r="E230" s="216"/>
      <c r="F230" s="216"/>
      <c r="G230" s="216"/>
      <c r="H230" s="187"/>
      <c r="I230" s="187"/>
      <c r="J230" s="216"/>
      <c r="K230" s="216"/>
      <c r="L230" s="216"/>
      <c r="M230" s="216"/>
      <c r="N230" s="216"/>
      <c r="O230" s="216"/>
      <c r="P230" s="216"/>
    </row>
    <row r="231" spans="1:16" ht="12.75">
      <c r="A231" s="213"/>
      <c r="B231" s="214"/>
      <c r="C231" s="213"/>
      <c r="D231" s="215"/>
      <c r="E231" s="216"/>
      <c r="F231" s="216"/>
      <c r="G231" s="216"/>
      <c r="H231" s="187"/>
      <c r="I231" s="187"/>
      <c r="J231" s="216"/>
      <c r="K231" s="216"/>
      <c r="L231" s="216"/>
      <c r="M231" s="216"/>
      <c r="N231" s="216"/>
      <c r="O231" s="216"/>
      <c r="P231" s="216"/>
    </row>
    <row r="232" spans="1:16" ht="12.75">
      <c r="A232" s="213"/>
      <c r="B232" s="214"/>
      <c r="C232" s="213"/>
      <c r="D232" s="215"/>
      <c r="E232" s="216"/>
      <c r="F232" s="216"/>
      <c r="G232" s="216"/>
      <c r="H232" s="187"/>
      <c r="I232" s="187"/>
      <c r="J232" s="216"/>
      <c r="K232" s="216"/>
      <c r="L232" s="216"/>
      <c r="M232" s="216"/>
      <c r="N232" s="216"/>
      <c r="O232" s="216"/>
      <c r="P232" s="216"/>
    </row>
    <row r="233" spans="1:16" ht="12.75">
      <c r="A233" s="213"/>
      <c r="B233" s="214"/>
      <c r="C233" s="213"/>
      <c r="D233" s="215"/>
      <c r="E233" s="216"/>
      <c r="F233" s="216"/>
      <c r="G233" s="216"/>
      <c r="H233" s="187"/>
      <c r="I233" s="187"/>
      <c r="J233" s="216"/>
      <c r="K233" s="216"/>
      <c r="L233" s="216"/>
      <c r="M233" s="216"/>
      <c r="N233" s="216"/>
      <c r="O233" s="216"/>
      <c r="P233" s="216"/>
    </row>
    <row r="234" spans="1:16" ht="12.75">
      <c r="A234" s="213"/>
      <c r="B234" s="214"/>
      <c r="C234" s="213"/>
      <c r="D234" s="215"/>
      <c r="E234" s="216"/>
      <c r="F234" s="216"/>
      <c r="G234" s="216"/>
      <c r="H234" s="187"/>
      <c r="I234" s="187"/>
      <c r="J234" s="216"/>
      <c r="K234" s="216"/>
      <c r="L234" s="216"/>
      <c r="M234" s="216"/>
      <c r="N234" s="216"/>
      <c r="O234" s="216"/>
      <c r="P234" s="216"/>
    </row>
    <row r="235" spans="1:16" ht="12.75">
      <c r="A235" s="213"/>
      <c r="B235" s="214"/>
      <c r="C235" s="213"/>
      <c r="D235" s="215"/>
      <c r="E235" s="216"/>
      <c r="F235" s="216"/>
      <c r="G235" s="216"/>
      <c r="H235" s="187"/>
      <c r="I235" s="187"/>
      <c r="J235" s="216"/>
      <c r="K235" s="216"/>
      <c r="L235" s="216"/>
      <c r="M235" s="216"/>
      <c r="N235" s="216"/>
      <c r="O235" s="216"/>
      <c r="P235" s="216"/>
    </row>
    <row r="236" spans="1:16" ht="12.75">
      <c r="A236" s="213"/>
      <c r="B236" s="214"/>
      <c r="C236" s="213"/>
      <c r="D236" s="215"/>
      <c r="E236" s="216"/>
      <c r="F236" s="216"/>
      <c r="G236" s="216"/>
      <c r="H236" s="187"/>
      <c r="I236" s="187"/>
      <c r="J236" s="216"/>
      <c r="K236" s="216"/>
      <c r="L236" s="216"/>
      <c r="M236" s="216"/>
      <c r="N236" s="216"/>
      <c r="O236" s="216"/>
      <c r="P236" s="216"/>
    </row>
    <row r="237" spans="1:16" ht="12.75">
      <c r="A237" s="213"/>
      <c r="B237" s="214"/>
      <c r="C237" s="213"/>
      <c r="D237" s="215"/>
      <c r="E237" s="216"/>
      <c r="F237" s="216"/>
      <c r="G237" s="216"/>
      <c r="H237" s="187"/>
      <c r="I237" s="187"/>
      <c r="J237" s="216"/>
      <c r="K237" s="216"/>
      <c r="L237" s="216"/>
      <c r="M237" s="216"/>
      <c r="N237" s="216"/>
      <c r="O237" s="216"/>
      <c r="P237" s="216"/>
    </row>
    <row r="238" spans="1:16" ht="12.75">
      <c r="A238" s="213"/>
      <c r="B238" s="214"/>
      <c r="C238" s="213"/>
      <c r="D238" s="215"/>
      <c r="E238" s="216"/>
      <c r="F238" s="216"/>
      <c r="G238" s="216"/>
      <c r="H238" s="187"/>
      <c r="I238" s="187"/>
      <c r="J238" s="216"/>
      <c r="K238" s="216"/>
      <c r="L238" s="216"/>
      <c r="M238" s="216"/>
      <c r="N238" s="216"/>
      <c r="O238" s="216"/>
      <c r="P238" s="216"/>
    </row>
    <row r="239" spans="1:16" ht="12.75">
      <c r="A239" s="213"/>
      <c r="B239" s="214"/>
      <c r="C239" s="213"/>
      <c r="D239" s="215"/>
      <c r="E239" s="216"/>
      <c r="F239" s="216"/>
      <c r="G239" s="216"/>
      <c r="H239" s="187"/>
      <c r="I239" s="187"/>
      <c r="J239" s="216"/>
      <c r="K239" s="216"/>
      <c r="L239" s="216"/>
      <c r="M239" s="216"/>
      <c r="N239" s="216"/>
      <c r="O239" s="216"/>
      <c r="P239" s="216"/>
    </row>
    <row r="240" spans="1:16" ht="12.75">
      <c r="A240" s="213"/>
      <c r="B240" s="214"/>
      <c r="C240" s="213"/>
      <c r="D240" s="215"/>
      <c r="E240" s="216"/>
      <c r="F240" s="216"/>
      <c r="G240" s="216"/>
      <c r="H240" s="187"/>
      <c r="I240" s="187"/>
      <c r="J240" s="216"/>
      <c r="K240" s="216"/>
      <c r="L240" s="216"/>
      <c r="M240" s="216"/>
      <c r="N240" s="216"/>
      <c r="O240" s="216"/>
      <c r="P240" s="216"/>
    </row>
  </sheetData>
  <sheetProtection selectLockedCells="1" selectUnlockedCells="1"/>
  <mergeCells count="20">
    <mergeCell ref="A7:B7"/>
    <mergeCell ref="C77:G77"/>
    <mergeCell ref="K77:P77"/>
    <mergeCell ref="I79:J79"/>
    <mergeCell ref="F10:K10"/>
    <mergeCell ref="L10:P10"/>
    <mergeCell ref="C70:K70"/>
    <mergeCell ref="C71:K71"/>
    <mergeCell ref="D10:D11"/>
    <mergeCell ref="E10:E11"/>
    <mergeCell ref="A76:B76"/>
    <mergeCell ref="I76:J76"/>
    <mergeCell ref="A1:P1"/>
    <mergeCell ref="A2:P2"/>
    <mergeCell ref="M8:N8"/>
    <mergeCell ref="O8:P8"/>
    <mergeCell ref="G9:H9"/>
    <mergeCell ref="A10:A11"/>
    <mergeCell ref="B10:B11"/>
    <mergeCell ref="C10:C11"/>
  </mergeCells>
  <printOptions horizontalCentered="1"/>
  <pageMargins left="0.4701388888888889" right="0.5" top="0.7875" bottom="0.5902777777777778" header="0.5118055555555555" footer="0.19652777777777777"/>
  <pageSetup firstPageNumber="1" useFirstPageNumber="1" fitToHeight="5" fitToWidth="1" horizontalDpi="300" verticalDpi="300" orientation="landscape" paperSize="9" scale="61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R189"/>
  <sheetViews>
    <sheetView showZeros="0" view="pageBreakPreview" zoomScale="70" zoomScaleNormal="55" zoomScaleSheetLayoutView="70" zoomScalePageLayoutView="0" workbookViewId="0" topLeftCell="A1">
      <selection activeCell="A56" sqref="A56:IV61"/>
    </sheetView>
  </sheetViews>
  <sheetFormatPr defaultColWidth="37" defaultRowHeight="15.75"/>
  <cols>
    <col min="1" max="1" width="4.796875" style="190" customWidth="1"/>
    <col min="2" max="2" width="9.09765625" style="236" customWidth="1"/>
    <col min="3" max="3" width="29.59765625" style="207" customWidth="1"/>
    <col min="4" max="4" width="6.19921875" style="189" customWidth="1"/>
    <col min="5" max="5" width="9.19921875" style="190" customWidth="1"/>
    <col min="6" max="6" width="6" style="207" customWidth="1"/>
    <col min="7" max="7" width="8" style="207" customWidth="1"/>
    <col min="8" max="8" width="8.3984375" style="212" customWidth="1"/>
    <col min="9" max="9" width="11.3984375" style="212" customWidth="1"/>
    <col min="10" max="10" width="7.796875" style="207" customWidth="1"/>
    <col min="11" max="11" width="11" style="207" customWidth="1"/>
    <col min="12" max="12" width="9.8984375" style="207" customWidth="1"/>
    <col min="13" max="13" width="11.59765625" style="207" customWidth="1"/>
    <col min="14" max="14" width="12" style="207" customWidth="1"/>
    <col min="15" max="16" width="11.3984375" style="207" customWidth="1"/>
    <col min="17" max="34" width="11.296875" style="207" customWidth="1"/>
    <col min="35" max="16384" width="37" style="207" customWidth="1"/>
  </cols>
  <sheetData>
    <row r="1" spans="1:16" s="187" customFormat="1" ht="19.5" customHeight="1">
      <c r="A1" s="425" t="s">
        <v>576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</row>
    <row r="2" spans="1:16" s="187" customFormat="1" ht="19.5" customHeight="1">
      <c r="A2" s="452" t="s">
        <v>577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</row>
    <row r="3" spans="1:16" s="187" customFormat="1" ht="19.5" customHeight="1">
      <c r="A3" s="53" t="str">
        <f>'1-3 (1)'!A3</f>
        <v>Būves nosaukums:     Tautas nama "Kalngravas" rekonstrukcija- 2. kārta </v>
      </c>
      <c r="B3" s="53"/>
      <c r="C3" s="189"/>
      <c r="D3" s="190"/>
      <c r="E3" s="190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6" s="187" customFormat="1" ht="19.5" customHeight="1">
      <c r="A4" s="53" t="str">
        <f>'1-3 (1)'!A4</f>
        <v>Objekta nosaukums:  Tautas nama "Kalngravas" rekonstrukcija</v>
      </c>
      <c r="B4" s="53"/>
      <c r="C4" s="189"/>
      <c r="D4" s="190"/>
      <c r="E4" s="190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</row>
    <row r="5" spans="1:16" s="187" customFormat="1" ht="19.5" customHeight="1">
      <c r="A5" s="53" t="str">
        <f>'1-3 (1)'!A5</f>
        <v>Būves adrese:  Kalngravas 1, Sarkaņu pagasts, Madonas novads</v>
      </c>
      <c r="B5" s="53"/>
      <c r="C5" s="189"/>
      <c r="D5" s="190"/>
      <c r="E5" s="190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</row>
    <row r="6" spans="1:16" s="187" customFormat="1" ht="19.5" customHeight="1">
      <c r="A6" s="53" t="str">
        <f>'1-3 (1)'!A6</f>
        <v>Pasūtījuma Nr.: </v>
      </c>
      <c r="B6" s="53"/>
      <c r="C6" s="192" t="s">
        <v>845</v>
      </c>
      <c r="D6" s="190"/>
      <c r="E6" s="190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</row>
    <row r="7" spans="1:8" s="4" customFormat="1" ht="25.5" customHeight="1">
      <c r="A7" s="391" t="s">
        <v>852</v>
      </c>
      <c r="B7" s="391"/>
      <c r="C7" s="386"/>
      <c r="D7" s="386"/>
      <c r="E7" s="386"/>
      <c r="F7" s="386"/>
      <c r="G7" s="386"/>
      <c r="H7" s="386"/>
    </row>
    <row r="8" spans="1:16" s="187" customFormat="1" ht="19.5" customHeight="1">
      <c r="A8" s="53" t="s">
        <v>479</v>
      </c>
      <c r="B8" s="59"/>
      <c r="C8" s="189"/>
      <c r="D8" s="190"/>
      <c r="E8" s="190"/>
      <c r="F8" s="191"/>
      <c r="G8" s="191"/>
      <c r="H8" s="191"/>
      <c r="I8" s="191"/>
      <c r="J8" s="191"/>
      <c r="K8" s="191"/>
      <c r="L8" s="191"/>
      <c r="M8" s="427" t="s">
        <v>47</v>
      </c>
      <c r="N8" s="427"/>
      <c r="O8" s="428">
        <f>P54</f>
        <v>0</v>
      </c>
      <c r="P8" s="428"/>
    </row>
    <row r="9" spans="1:16" ht="15" customHeight="1">
      <c r="A9" s="229"/>
      <c r="B9" s="229"/>
      <c r="C9" s="189"/>
      <c r="D9" s="190"/>
      <c r="E9" s="230"/>
      <c r="F9" s="191"/>
      <c r="G9" s="453"/>
      <c r="H9" s="453"/>
      <c r="I9" s="191"/>
      <c r="J9" s="191"/>
      <c r="K9" s="230"/>
      <c r="L9" s="300"/>
      <c r="M9" s="230"/>
      <c r="N9" s="191"/>
      <c r="O9" s="191"/>
      <c r="P9" s="191"/>
    </row>
    <row r="10" spans="1:16" s="187" customFormat="1" ht="19.5" customHeight="1">
      <c r="A10" s="429" t="s">
        <v>4</v>
      </c>
      <c r="B10" s="429" t="s">
        <v>48</v>
      </c>
      <c r="C10" s="430" t="s">
        <v>49</v>
      </c>
      <c r="D10" s="429" t="s">
        <v>50</v>
      </c>
      <c r="E10" s="429" t="s">
        <v>51</v>
      </c>
      <c r="F10" s="431" t="s">
        <v>52</v>
      </c>
      <c r="G10" s="431"/>
      <c r="H10" s="431"/>
      <c r="I10" s="431"/>
      <c r="J10" s="431"/>
      <c r="K10" s="431"/>
      <c r="L10" s="431" t="s">
        <v>53</v>
      </c>
      <c r="M10" s="431"/>
      <c r="N10" s="431"/>
      <c r="O10" s="431"/>
      <c r="P10" s="431"/>
    </row>
    <row r="11" spans="1:16" s="187" customFormat="1" ht="99.75" customHeight="1">
      <c r="A11" s="429"/>
      <c r="B11" s="429"/>
      <c r="C11" s="430"/>
      <c r="D11" s="429"/>
      <c r="E11" s="429"/>
      <c r="F11" s="26" t="s">
        <v>54</v>
      </c>
      <c r="G11" s="26" t="s">
        <v>55</v>
      </c>
      <c r="H11" s="26" t="s">
        <v>56</v>
      </c>
      <c r="I11" s="26" t="s">
        <v>57</v>
      </c>
      <c r="J11" s="26" t="s">
        <v>58</v>
      </c>
      <c r="K11" s="26" t="s">
        <v>59</v>
      </c>
      <c r="L11" s="26" t="s">
        <v>60</v>
      </c>
      <c r="M11" s="26" t="s">
        <v>56</v>
      </c>
      <c r="N11" s="26" t="s">
        <v>57</v>
      </c>
      <c r="O11" s="26" t="s">
        <v>58</v>
      </c>
      <c r="P11" s="26" t="s">
        <v>61</v>
      </c>
    </row>
    <row r="12" spans="1:16" ht="42.75" customHeight="1">
      <c r="A12" s="198"/>
      <c r="B12" s="198"/>
      <c r="C12" s="301" t="s">
        <v>578</v>
      </c>
      <c r="D12" s="202"/>
      <c r="E12" s="203"/>
      <c r="F12" s="204"/>
      <c r="G12" s="205"/>
      <c r="H12" s="205"/>
      <c r="I12" s="205"/>
      <c r="J12" s="205"/>
      <c r="K12" s="205"/>
      <c r="L12" s="205"/>
      <c r="M12" s="205"/>
      <c r="N12" s="205"/>
      <c r="O12" s="205"/>
      <c r="P12" s="205"/>
    </row>
    <row r="13" spans="1:16" ht="92.25" customHeight="1">
      <c r="A13" s="198">
        <v>1</v>
      </c>
      <c r="B13" s="200" t="s">
        <v>579</v>
      </c>
      <c r="C13" s="233" t="s">
        <v>580</v>
      </c>
      <c r="D13" s="202" t="s">
        <v>581</v>
      </c>
      <c r="E13" s="203">
        <v>1</v>
      </c>
      <c r="F13" s="204"/>
      <c r="G13" s="205"/>
      <c r="H13" s="205"/>
      <c r="I13" s="205"/>
      <c r="J13" s="205"/>
      <c r="K13" s="205"/>
      <c r="L13" s="205"/>
      <c r="M13" s="205"/>
      <c r="N13" s="205"/>
      <c r="O13" s="205"/>
      <c r="P13" s="205"/>
    </row>
    <row r="14" spans="1:17" ht="40.5" customHeight="1">
      <c r="A14" s="198">
        <v>2</v>
      </c>
      <c r="B14" s="200" t="s">
        <v>582</v>
      </c>
      <c r="C14" s="302" t="s">
        <v>583</v>
      </c>
      <c r="D14" s="202" t="s">
        <v>64</v>
      </c>
      <c r="E14" s="203">
        <v>1</v>
      </c>
      <c r="F14" s="204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303"/>
    </row>
    <row r="15" spans="1:16" ht="40.5" customHeight="1">
      <c r="A15" s="198">
        <v>3</v>
      </c>
      <c r="B15" s="200" t="s">
        <v>584</v>
      </c>
      <c r="C15" s="302" t="s">
        <v>585</v>
      </c>
      <c r="D15" s="202" t="s">
        <v>64</v>
      </c>
      <c r="E15" s="203">
        <v>1</v>
      </c>
      <c r="F15" s="204"/>
      <c r="G15" s="205"/>
      <c r="H15" s="205"/>
      <c r="I15" s="205"/>
      <c r="J15" s="205"/>
      <c r="K15" s="205"/>
      <c r="L15" s="205"/>
      <c r="M15" s="205"/>
      <c r="N15" s="205"/>
      <c r="O15" s="205"/>
      <c r="P15" s="205"/>
    </row>
    <row r="16" spans="1:16" ht="40.5" customHeight="1">
      <c r="A16" s="198">
        <v>4</v>
      </c>
      <c r="B16" s="200" t="s">
        <v>586</v>
      </c>
      <c r="C16" s="302" t="s">
        <v>587</v>
      </c>
      <c r="D16" s="202" t="s">
        <v>64</v>
      </c>
      <c r="E16" s="203">
        <v>1</v>
      </c>
      <c r="F16" s="204"/>
      <c r="G16" s="205"/>
      <c r="H16" s="205"/>
      <c r="I16" s="205"/>
      <c r="J16" s="205"/>
      <c r="K16" s="205"/>
      <c r="L16" s="205"/>
      <c r="M16" s="205"/>
      <c r="N16" s="205"/>
      <c r="O16" s="205"/>
      <c r="P16" s="205"/>
    </row>
    <row r="17" spans="1:16" ht="40.5" customHeight="1">
      <c r="A17" s="198">
        <v>5</v>
      </c>
      <c r="B17" s="200" t="s">
        <v>588</v>
      </c>
      <c r="C17" s="233" t="s">
        <v>589</v>
      </c>
      <c r="D17" s="202" t="s">
        <v>444</v>
      </c>
      <c r="E17" s="203">
        <v>1</v>
      </c>
      <c r="F17" s="204"/>
      <c r="G17" s="205"/>
      <c r="H17" s="205"/>
      <c r="I17" s="205"/>
      <c r="J17" s="205"/>
      <c r="K17" s="205"/>
      <c r="L17" s="205"/>
      <c r="M17" s="205"/>
      <c r="N17" s="205"/>
      <c r="O17" s="205"/>
      <c r="P17" s="205"/>
    </row>
    <row r="18" spans="1:16" ht="40.5" customHeight="1">
      <c r="A18" s="198">
        <v>6</v>
      </c>
      <c r="B18" s="200" t="s">
        <v>590</v>
      </c>
      <c r="C18" s="233" t="s">
        <v>591</v>
      </c>
      <c r="D18" s="202" t="s">
        <v>483</v>
      </c>
      <c r="E18" s="203">
        <v>1</v>
      </c>
      <c r="F18" s="204"/>
      <c r="G18" s="205"/>
      <c r="H18" s="205"/>
      <c r="I18" s="205"/>
      <c r="J18" s="205"/>
      <c r="K18" s="205"/>
      <c r="L18" s="205"/>
      <c r="M18" s="205"/>
      <c r="N18" s="205"/>
      <c r="O18" s="205"/>
      <c r="P18" s="205"/>
    </row>
    <row r="19" spans="1:16" ht="40.5" customHeight="1">
      <c r="A19" s="198">
        <v>7</v>
      </c>
      <c r="B19" s="200" t="s">
        <v>592</v>
      </c>
      <c r="C19" s="233" t="s">
        <v>593</v>
      </c>
      <c r="D19" s="202" t="s">
        <v>483</v>
      </c>
      <c r="E19" s="203">
        <v>1</v>
      </c>
      <c r="F19" s="204"/>
      <c r="G19" s="205"/>
      <c r="H19" s="205"/>
      <c r="I19" s="205"/>
      <c r="J19" s="205"/>
      <c r="K19" s="205"/>
      <c r="L19" s="205"/>
      <c r="M19" s="205"/>
      <c r="N19" s="205"/>
      <c r="O19" s="205"/>
      <c r="P19" s="205"/>
    </row>
    <row r="20" spans="1:16" ht="40.5" customHeight="1">
      <c r="A20" s="198">
        <v>8</v>
      </c>
      <c r="B20" s="200" t="s">
        <v>594</v>
      </c>
      <c r="C20" s="63" t="s">
        <v>595</v>
      </c>
      <c r="D20" s="64" t="s">
        <v>581</v>
      </c>
      <c r="E20" s="203">
        <v>2</v>
      </c>
      <c r="F20" s="66"/>
      <c r="G20" s="205"/>
      <c r="H20" s="67"/>
      <c r="I20" s="67"/>
      <c r="J20" s="67"/>
      <c r="K20" s="67"/>
      <c r="L20" s="67"/>
      <c r="M20" s="67"/>
      <c r="N20" s="67"/>
      <c r="O20" s="67"/>
      <c r="P20" s="67"/>
    </row>
    <row r="21" spans="1:16" ht="40.5" customHeight="1">
      <c r="A21" s="198">
        <v>9</v>
      </c>
      <c r="B21" s="200" t="s">
        <v>596</v>
      </c>
      <c r="C21" s="63" t="s">
        <v>597</v>
      </c>
      <c r="D21" s="64" t="s">
        <v>64</v>
      </c>
      <c r="E21" s="203">
        <v>1</v>
      </c>
      <c r="F21" s="66"/>
      <c r="G21" s="205"/>
      <c r="H21" s="67"/>
      <c r="I21" s="67"/>
      <c r="J21" s="67"/>
      <c r="K21" s="67"/>
      <c r="L21" s="67"/>
      <c r="M21" s="67"/>
      <c r="N21" s="67"/>
      <c r="O21" s="67"/>
      <c r="P21" s="67"/>
    </row>
    <row r="22" spans="1:16" ht="40.5" customHeight="1">
      <c r="A22" s="198">
        <v>10</v>
      </c>
      <c r="B22" s="200" t="s">
        <v>598</v>
      </c>
      <c r="C22" s="63" t="s">
        <v>599</v>
      </c>
      <c r="D22" s="64" t="s">
        <v>64</v>
      </c>
      <c r="E22" s="203">
        <v>2</v>
      </c>
      <c r="F22" s="66"/>
      <c r="G22" s="205"/>
      <c r="H22" s="67"/>
      <c r="I22" s="67"/>
      <c r="J22" s="67"/>
      <c r="K22" s="67"/>
      <c r="L22" s="67"/>
      <c r="M22" s="67"/>
      <c r="N22" s="67"/>
      <c r="O22" s="67"/>
      <c r="P22" s="67"/>
    </row>
    <row r="23" spans="1:16" ht="40.5" customHeight="1">
      <c r="A23" s="198">
        <v>11</v>
      </c>
      <c r="B23" s="200" t="s">
        <v>600</v>
      </c>
      <c r="C23" s="63" t="s">
        <v>601</v>
      </c>
      <c r="D23" s="64" t="s">
        <v>64</v>
      </c>
      <c r="E23" s="203">
        <v>11</v>
      </c>
      <c r="F23" s="66"/>
      <c r="G23" s="205"/>
      <c r="H23" s="67"/>
      <c r="I23" s="67"/>
      <c r="J23" s="67"/>
      <c r="K23" s="67"/>
      <c r="L23" s="67"/>
      <c r="M23" s="67"/>
      <c r="N23" s="67"/>
      <c r="O23" s="67"/>
      <c r="P23" s="67"/>
    </row>
    <row r="24" spans="1:16" ht="40.5" customHeight="1">
      <c r="A24" s="198">
        <v>12</v>
      </c>
      <c r="B24" s="200" t="s">
        <v>602</v>
      </c>
      <c r="C24" s="63" t="s">
        <v>603</v>
      </c>
      <c r="D24" s="64" t="s">
        <v>64</v>
      </c>
      <c r="E24" s="203">
        <v>4</v>
      </c>
      <c r="F24" s="66"/>
      <c r="G24" s="205"/>
      <c r="H24" s="67"/>
      <c r="I24" s="67"/>
      <c r="J24" s="67"/>
      <c r="K24" s="67"/>
      <c r="L24" s="67"/>
      <c r="M24" s="67"/>
      <c r="N24" s="67"/>
      <c r="O24" s="67"/>
      <c r="P24" s="67"/>
    </row>
    <row r="25" spans="1:16" ht="40.5" customHeight="1">
      <c r="A25" s="198">
        <v>13</v>
      </c>
      <c r="B25" s="200" t="s">
        <v>604</v>
      </c>
      <c r="C25" s="63" t="s">
        <v>605</v>
      </c>
      <c r="D25" s="64" t="s">
        <v>64</v>
      </c>
      <c r="E25" s="203">
        <v>1</v>
      </c>
      <c r="F25" s="66"/>
      <c r="G25" s="205"/>
      <c r="H25" s="67"/>
      <c r="I25" s="67"/>
      <c r="J25" s="67"/>
      <c r="K25" s="67"/>
      <c r="L25" s="67"/>
      <c r="M25" s="67"/>
      <c r="N25" s="67"/>
      <c r="O25" s="67"/>
      <c r="P25" s="67"/>
    </row>
    <row r="26" spans="1:16" ht="40.5" customHeight="1">
      <c r="A26" s="198">
        <v>14</v>
      </c>
      <c r="B26" s="200" t="s">
        <v>606</v>
      </c>
      <c r="C26" s="63" t="s">
        <v>607</v>
      </c>
      <c r="D26" s="64" t="s">
        <v>64</v>
      </c>
      <c r="E26" s="203">
        <v>2</v>
      </c>
      <c r="F26" s="66"/>
      <c r="G26" s="205"/>
      <c r="H26" s="67"/>
      <c r="I26" s="67"/>
      <c r="J26" s="67"/>
      <c r="K26" s="67"/>
      <c r="L26" s="67"/>
      <c r="M26" s="67"/>
      <c r="N26" s="67"/>
      <c r="O26" s="67"/>
      <c r="P26" s="67"/>
    </row>
    <row r="27" spans="1:16" ht="40.5" customHeight="1">
      <c r="A27" s="198">
        <v>15</v>
      </c>
      <c r="B27" s="200" t="s">
        <v>608</v>
      </c>
      <c r="C27" s="304" t="s">
        <v>609</v>
      </c>
      <c r="D27" s="305" t="s">
        <v>64</v>
      </c>
      <c r="E27" s="306">
        <v>1</v>
      </c>
      <c r="F27" s="307"/>
      <c r="G27" s="205"/>
      <c r="H27" s="67"/>
      <c r="I27" s="67"/>
      <c r="J27" s="67"/>
      <c r="K27" s="67"/>
      <c r="L27" s="67"/>
      <c r="M27" s="67"/>
      <c r="N27" s="67"/>
      <c r="O27" s="67"/>
      <c r="P27" s="67"/>
    </row>
    <row r="28" spans="1:16" ht="40.5" customHeight="1">
      <c r="A28" s="198">
        <v>16</v>
      </c>
      <c r="B28" s="200" t="s">
        <v>610</v>
      </c>
      <c r="C28" s="63" t="s">
        <v>611</v>
      </c>
      <c r="D28" s="308" t="s">
        <v>64</v>
      </c>
      <c r="E28" s="309">
        <v>2</v>
      </c>
      <c r="F28" s="307"/>
      <c r="G28" s="205"/>
      <c r="H28" s="67"/>
      <c r="I28" s="67"/>
      <c r="J28" s="67"/>
      <c r="K28" s="67"/>
      <c r="L28" s="67"/>
      <c r="M28" s="67"/>
      <c r="N28" s="67"/>
      <c r="O28" s="67"/>
      <c r="P28" s="67"/>
    </row>
    <row r="29" spans="1:16" ht="57" customHeight="1">
      <c r="A29" s="198">
        <v>17</v>
      </c>
      <c r="B29" s="200" t="s">
        <v>612</v>
      </c>
      <c r="C29" s="304" t="s">
        <v>613</v>
      </c>
      <c r="D29" s="305" t="s">
        <v>483</v>
      </c>
      <c r="E29" s="306">
        <v>1</v>
      </c>
      <c r="F29" s="177"/>
      <c r="G29" s="205"/>
      <c r="H29" s="67"/>
      <c r="I29" s="289"/>
      <c r="J29" s="67"/>
      <c r="K29" s="67"/>
      <c r="L29" s="67"/>
      <c r="M29" s="67"/>
      <c r="N29" s="67"/>
      <c r="O29" s="67"/>
      <c r="P29" s="67"/>
    </row>
    <row r="30" spans="1:16" ht="57" customHeight="1">
      <c r="A30" s="198">
        <v>18</v>
      </c>
      <c r="B30" s="200" t="s">
        <v>614</v>
      </c>
      <c r="C30" s="304" t="s">
        <v>615</v>
      </c>
      <c r="D30" s="305" t="s">
        <v>483</v>
      </c>
      <c r="E30" s="306">
        <v>1</v>
      </c>
      <c r="F30" s="177"/>
      <c r="G30" s="205"/>
      <c r="H30" s="67"/>
      <c r="I30" s="289"/>
      <c r="J30" s="67"/>
      <c r="K30" s="67"/>
      <c r="L30" s="67"/>
      <c r="M30" s="67"/>
      <c r="N30" s="67"/>
      <c r="O30" s="67"/>
      <c r="P30" s="67"/>
    </row>
    <row r="31" spans="1:16" ht="41.25" customHeight="1">
      <c r="A31" s="198">
        <v>19</v>
      </c>
      <c r="B31" s="200" t="s">
        <v>616</v>
      </c>
      <c r="C31" s="304" t="s">
        <v>617</v>
      </c>
      <c r="D31" s="308" t="s">
        <v>64</v>
      </c>
      <c r="E31" s="67">
        <v>3</v>
      </c>
      <c r="F31" s="67"/>
      <c r="G31" s="205"/>
      <c r="H31" s="67"/>
      <c r="I31" s="67"/>
      <c r="J31" s="67"/>
      <c r="K31" s="67"/>
      <c r="L31" s="67"/>
      <c r="M31" s="67"/>
      <c r="N31" s="67"/>
      <c r="O31" s="67"/>
      <c r="P31" s="67"/>
    </row>
    <row r="32" spans="1:16" ht="41.25" customHeight="1">
      <c r="A32" s="198">
        <v>20</v>
      </c>
      <c r="B32" s="200" t="s">
        <v>618</v>
      </c>
      <c r="C32" s="63" t="s">
        <v>619</v>
      </c>
      <c r="D32" s="64" t="s">
        <v>581</v>
      </c>
      <c r="E32" s="67">
        <v>1</v>
      </c>
      <c r="F32" s="67"/>
      <c r="G32" s="205"/>
      <c r="H32" s="67"/>
      <c r="I32" s="67"/>
      <c r="J32" s="67"/>
      <c r="K32" s="67"/>
      <c r="L32" s="67"/>
      <c r="M32" s="67"/>
      <c r="N32" s="67"/>
      <c r="O32" s="67"/>
      <c r="P32" s="67"/>
    </row>
    <row r="33" spans="1:16" ht="41.25" customHeight="1">
      <c r="A33" s="198">
        <v>21</v>
      </c>
      <c r="B33" s="200" t="s">
        <v>620</v>
      </c>
      <c r="C33" s="63" t="s">
        <v>621</v>
      </c>
      <c r="D33" s="308" t="s">
        <v>63</v>
      </c>
      <c r="E33" s="67">
        <v>5</v>
      </c>
      <c r="F33" s="67"/>
      <c r="G33" s="205"/>
      <c r="H33" s="67"/>
      <c r="I33" s="67"/>
      <c r="J33" s="67"/>
      <c r="K33" s="67"/>
      <c r="L33" s="67"/>
      <c r="M33" s="67"/>
      <c r="N33" s="67"/>
      <c r="O33" s="67"/>
      <c r="P33" s="67"/>
    </row>
    <row r="34" spans="1:16" ht="41.25" customHeight="1">
      <c r="A34" s="198">
        <v>22</v>
      </c>
      <c r="B34" s="200" t="s">
        <v>622</v>
      </c>
      <c r="C34" s="63" t="s">
        <v>623</v>
      </c>
      <c r="D34" s="308" t="s">
        <v>420</v>
      </c>
      <c r="E34" s="67">
        <v>1</v>
      </c>
      <c r="F34" s="67"/>
      <c r="G34" s="205"/>
      <c r="H34" s="67"/>
      <c r="I34" s="67"/>
      <c r="J34" s="67"/>
      <c r="K34" s="67"/>
      <c r="L34" s="67"/>
      <c r="M34" s="67"/>
      <c r="N34" s="67"/>
      <c r="O34" s="67"/>
      <c r="P34" s="67"/>
    </row>
    <row r="35" spans="1:16" ht="41.25" customHeight="1">
      <c r="A35" s="198">
        <v>23</v>
      </c>
      <c r="B35" s="200" t="s">
        <v>624</v>
      </c>
      <c r="C35" s="63" t="s">
        <v>625</v>
      </c>
      <c r="D35" s="308" t="s">
        <v>420</v>
      </c>
      <c r="E35" s="67">
        <v>1</v>
      </c>
      <c r="F35" s="67"/>
      <c r="G35" s="205"/>
      <c r="H35" s="67"/>
      <c r="I35" s="67"/>
      <c r="J35" s="67"/>
      <c r="K35" s="67"/>
      <c r="L35" s="67"/>
      <c r="M35" s="67"/>
      <c r="N35" s="67"/>
      <c r="O35" s="67"/>
      <c r="P35" s="67"/>
    </row>
    <row r="36" spans="1:16" ht="41.25" customHeight="1">
      <c r="A36" s="198">
        <v>24</v>
      </c>
      <c r="B36" s="200" t="s">
        <v>626</v>
      </c>
      <c r="C36" s="63" t="s">
        <v>627</v>
      </c>
      <c r="D36" s="308" t="s">
        <v>420</v>
      </c>
      <c r="E36" s="67">
        <v>14</v>
      </c>
      <c r="F36" s="67"/>
      <c r="G36" s="205"/>
      <c r="H36" s="67"/>
      <c r="I36" s="67"/>
      <c r="J36" s="67"/>
      <c r="K36" s="67"/>
      <c r="L36" s="67"/>
      <c r="M36" s="67"/>
      <c r="N36" s="67"/>
      <c r="O36" s="67"/>
      <c r="P36" s="67"/>
    </row>
    <row r="37" spans="1:16" ht="41.25" customHeight="1">
      <c r="A37" s="198">
        <v>25</v>
      </c>
      <c r="B37" s="200" t="s">
        <v>628</v>
      </c>
      <c r="C37" s="63" t="s">
        <v>629</v>
      </c>
      <c r="D37" s="308" t="s">
        <v>420</v>
      </c>
      <c r="E37" s="67">
        <v>14</v>
      </c>
      <c r="F37" s="67"/>
      <c r="G37" s="205"/>
      <c r="H37" s="67"/>
      <c r="I37" s="67"/>
      <c r="J37" s="67"/>
      <c r="K37" s="67"/>
      <c r="L37" s="67"/>
      <c r="M37" s="67"/>
      <c r="N37" s="67"/>
      <c r="O37" s="67"/>
      <c r="P37" s="67"/>
    </row>
    <row r="38" spans="1:16" ht="41.25" customHeight="1">
      <c r="A38" s="198">
        <v>26</v>
      </c>
      <c r="B38" s="200" t="s">
        <v>630</v>
      </c>
      <c r="C38" s="63" t="s">
        <v>631</v>
      </c>
      <c r="D38" s="308" t="s">
        <v>420</v>
      </c>
      <c r="E38" s="67">
        <v>8</v>
      </c>
      <c r="F38" s="67"/>
      <c r="G38" s="205"/>
      <c r="H38" s="67"/>
      <c r="I38" s="67"/>
      <c r="J38" s="67"/>
      <c r="K38" s="67"/>
      <c r="L38" s="67"/>
      <c r="M38" s="67"/>
      <c r="N38" s="67"/>
      <c r="O38" s="67"/>
      <c r="P38" s="67"/>
    </row>
    <row r="39" spans="1:16" ht="55.5" customHeight="1">
      <c r="A39" s="198">
        <v>27</v>
      </c>
      <c r="B39" s="200" t="s">
        <v>632</v>
      </c>
      <c r="C39" s="63" t="s">
        <v>633</v>
      </c>
      <c r="D39" s="308" t="s">
        <v>64</v>
      </c>
      <c r="E39" s="67">
        <v>1</v>
      </c>
      <c r="F39" s="66"/>
      <c r="G39" s="205"/>
      <c r="H39" s="67"/>
      <c r="I39" s="67"/>
      <c r="J39" s="67"/>
      <c r="K39" s="67"/>
      <c r="L39" s="67"/>
      <c r="M39" s="67"/>
      <c r="N39" s="67"/>
      <c r="O39" s="67"/>
      <c r="P39" s="67"/>
    </row>
    <row r="40" spans="1:16" ht="55.5" customHeight="1">
      <c r="A40" s="198">
        <v>28</v>
      </c>
      <c r="B40" s="200" t="s">
        <v>634</v>
      </c>
      <c r="C40" s="63" t="s">
        <v>635</v>
      </c>
      <c r="D40" s="308" t="s">
        <v>64</v>
      </c>
      <c r="E40" s="67">
        <v>12</v>
      </c>
      <c r="F40" s="66"/>
      <c r="G40" s="205"/>
      <c r="H40" s="67"/>
      <c r="I40" s="67"/>
      <c r="J40" s="67"/>
      <c r="K40" s="67"/>
      <c r="L40" s="67"/>
      <c r="M40" s="67"/>
      <c r="N40" s="67"/>
      <c r="O40" s="67"/>
      <c r="P40" s="67"/>
    </row>
    <row r="41" spans="1:16" ht="55.5" customHeight="1">
      <c r="A41" s="198">
        <v>29</v>
      </c>
      <c r="B41" s="200" t="s">
        <v>636</v>
      </c>
      <c r="C41" s="63" t="s">
        <v>637</v>
      </c>
      <c r="D41" s="308" t="s">
        <v>64</v>
      </c>
      <c r="E41" s="67">
        <v>14</v>
      </c>
      <c r="F41" s="66"/>
      <c r="G41" s="205"/>
      <c r="H41" s="67"/>
      <c r="I41" s="67"/>
      <c r="J41" s="67"/>
      <c r="K41" s="67"/>
      <c r="L41" s="67"/>
      <c r="M41" s="67"/>
      <c r="N41" s="67"/>
      <c r="O41" s="67"/>
      <c r="P41" s="67"/>
    </row>
    <row r="42" spans="1:16" ht="55.5" customHeight="1">
      <c r="A42" s="198">
        <v>30</v>
      </c>
      <c r="B42" s="200" t="s">
        <v>638</v>
      </c>
      <c r="C42" s="63" t="s">
        <v>639</v>
      </c>
      <c r="D42" s="308" t="s">
        <v>64</v>
      </c>
      <c r="E42" s="67">
        <v>14</v>
      </c>
      <c r="F42" s="66"/>
      <c r="G42" s="205"/>
      <c r="H42" s="67"/>
      <c r="I42" s="67"/>
      <c r="J42" s="67"/>
      <c r="K42" s="67"/>
      <c r="L42" s="67"/>
      <c r="M42" s="67"/>
      <c r="N42" s="67"/>
      <c r="O42" s="67"/>
      <c r="P42" s="67"/>
    </row>
    <row r="43" spans="1:16" ht="33.75" customHeight="1">
      <c r="A43" s="198">
        <v>31</v>
      </c>
      <c r="B43" s="200" t="s">
        <v>640</v>
      </c>
      <c r="C43" s="63" t="s">
        <v>641</v>
      </c>
      <c r="D43" s="308" t="s">
        <v>581</v>
      </c>
      <c r="E43" s="67">
        <v>1</v>
      </c>
      <c r="F43" s="67"/>
      <c r="G43" s="205"/>
      <c r="H43" s="67"/>
      <c r="I43" s="67"/>
      <c r="J43" s="67"/>
      <c r="K43" s="67"/>
      <c r="L43" s="67"/>
      <c r="M43" s="67"/>
      <c r="N43" s="67"/>
      <c r="O43" s="67"/>
      <c r="P43" s="67"/>
    </row>
    <row r="44" spans="1:16" ht="33.75" customHeight="1">
      <c r="A44" s="198">
        <v>32</v>
      </c>
      <c r="B44" s="200" t="s">
        <v>642</v>
      </c>
      <c r="C44" s="63" t="s">
        <v>643</v>
      </c>
      <c r="D44" s="308" t="s">
        <v>581</v>
      </c>
      <c r="E44" s="67">
        <v>1</v>
      </c>
      <c r="F44" s="67"/>
      <c r="G44" s="205"/>
      <c r="H44" s="67"/>
      <c r="I44" s="67"/>
      <c r="J44" s="67"/>
      <c r="K44" s="67"/>
      <c r="L44" s="67"/>
      <c r="M44" s="67"/>
      <c r="N44" s="67"/>
      <c r="O44" s="67"/>
      <c r="P44" s="67"/>
    </row>
    <row r="45" spans="1:16" ht="33.75" customHeight="1">
      <c r="A45" s="198">
        <v>33</v>
      </c>
      <c r="B45" s="200" t="s">
        <v>644</v>
      </c>
      <c r="C45" s="63" t="s">
        <v>572</v>
      </c>
      <c r="D45" s="308" t="s">
        <v>581</v>
      </c>
      <c r="E45" s="67">
        <v>1</v>
      </c>
      <c r="F45" s="67"/>
      <c r="G45" s="205"/>
      <c r="H45" s="67"/>
      <c r="I45" s="67"/>
      <c r="J45" s="67"/>
      <c r="K45" s="67"/>
      <c r="L45" s="67"/>
      <c r="M45" s="67"/>
      <c r="N45" s="67"/>
      <c r="O45" s="67"/>
      <c r="P45" s="67"/>
    </row>
    <row r="46" spans="1:16" ht="33.75" customHeight="1">
      <c r="A46" s="198">
        <v>34</v>
      </c>
      <c r="B46" s="200" t="s">
        <v>645</v>
      </c>
      <c r="C46" s="310" t="s">
        <v>646</v>
      </c>
      <c r="D46" s="308" t="s">
        <v>581</v>
      </c>
      <c r="E46" s="67">
        <v>1</v>
      </c>
      <c r="F46" s="66"/>
      <c r="G46" s="205"/>
      <c r="H46" s="67"/>
      <c r="I46" s="67"/>
      <c r="J46" s="67"/>
      <c r="K46" s="67"/>
      <c r="L46" s="67"/>
      <c r="M46" s="67"/>
      <c r="N46" s="67"/>
      <c r="O46" s="67"/>
      <c r="P46" s="67"/>
    </row>
    <row r="47" spans="1:16" ht="33.75" customHeight="1">
      <c r="A47" s="198">
        <v>35</v>
      </c>
      <c r="B47" s="200" t="s">
        <v>647</v>
      </c>
      <c r="C47" s="311" t="s">
        <v>648</v>
      </c>
      <c r="D47" s="308" t="s">
        <v>64</v>
      </c>
      <c r="E47" s="203">
        <v>1</v>
      </c>
      <c r="F47" s="66"/>
      <c r="G47" s="205"/>
      <c r="H47" s="67"/>
      <c r="I47" s="67"/>
      <c r="J47" s="67"/>
      <c r="K47" s="67"/>
      <c r="L47" s="67"/>
      <c r="M47" s="67"/>
      <c r="N47" s="67"/>
      <c r="O47" s="67"/>
      <c r="P47" s="67"/>
    </row>
    <row r="48" spans="1:16" ht="33.75" customHeight="1">
      <c r="A48" s="198">
        <v>36</v>
      </c>
      <c r="B48" s="200" t="s">
        <v>649</v>
      </c>
      <c r="C48" s="63" t="s">
        <v>650</v>
      </c>
      <c r="D48" s="308" t="s">
        <v>64</v>
      </c>
      <c r="E48" s="203">
        <v>3</v>
      </c>
      <c r="F48" s="66"/>
      <c r="G48" s="205"/>
      <c r="H48" s="67"/>
      <c r="I48" s="67"/>
      <c r="J48" s="67"/>
      <c r="K48" s="67"/>
      <c r="L48" s="67"/>
      <c r="M48" s="67"/>
      <c r="N48" s="67"/>
      <c r="O48" s="67"/>
      <c r="P48" s="67"/>
    </row>
    <row r="49" spans="1:16" ht="33.75" customHeight="1">
      <c r="A49" s="198">
        <v>37</v>
      </c>
      <c r="B49" s="200" t="s">
        <v>651</v>
      </c>
      <c r="C49" s="312" t="s">
        <v>652</v>
      </c>
      <c r="D49" s="308" t="s">
        <v>64</v>
      </c>
      <c r="E49" s="67">
        <v>8</v>
      </c>
      <c r="F49" s="66"/>
      <c r="G49" s="205"/>
      <c r="H49" s="67"/>
      <c r="I49" s="67"/>
      <c r="J49" s="67"/>
      <c r="K49" s="67"/>
      <c r="L49" s="67"/>
      <c r="M49" s="67"/>
      <c r="N49" s="67"/>
      <c r="O49" s="67"/>
      <c r="P49" s="67"/>
    </row>
    <row r="50" spans="1:16" ht="33.75" customHeight="1">
      <c r="A50" s="198">
        <v>38</v>
      </c>
      <c r="B50" s="200" t="s">
        <v>653</v>
      </c>
      <c r="C50" s="63" t="s">
        <v>654</v>
      </c>
      <c r="D50" s="64" t="s">
        <v>64</v>
      </c>
      <c r="E50" s="313">
        <v>12</v>
      </c>
      <c r="F50" s="66"/>
      <c r="G50" s="205"/>
      <c r="H50" s="67"/>
      <c r="I50" s="67"/>
      <c r="J50" s="67"/>
      <c r="K50" s="67"/>
      <c r="L50" s="67"/>
      <c r="M50" s="67"/>
      <c r="N50" s="67"/>
      <c r="O50" s="67"/>
      <c r="P50" s="67"/>
    </row>
    <row r="51" spans="1:16" ht="33.75" customHeight="1">
      <c r="A51" s="198">
        <v>39</v>
      </c>
      <c r="B51" s="200" t="s">
        <v>655</v>
      </c>
      <c r="C51" s="314" t="s">
        <v>656</v>
      </c>
      <c r="D51" s="308" t="s">
        <v>447</v>
      </c>
      <c r="E51" s="315">
        <v>8</v>
      </c>
      <c r="F51" s="66"/>
      <c r="G51" s="205"/>
      <c r="H51" s="67"/>
      <c r="I51" s="67"/>
      <c r="J51" s="67"/>
      <c r="K51" s="67"/>
      <c r="L51" s="67"/>
      <c r="M51" s="67"/>
      <c r="N51" s="67"/>
      <c r="O51" s="67"/>
      <c r="P51" s="67"/>
    </row>
    <row r="52" spans="1:18" ht="30" customHeight="1">
      <c r="A52" s="209"/>
      <c r="B52" s="316"/>
      <c r="C52" s="28" t="s">
        <v>7</v>
      </c>
      <c r="D52" s="209"/>
      <c r="E52" s="28"/>
      <c r="F52" s="28"/>
      <c r="G52" s="28"/>
      <c r="H52" s="28"/>
      <c r="I52" s="28"/>
      <c r="J52" s="28"/>
      <c r="K52" s="28"/>
      <c r="L52" s="29"/>
      <c r="M52" s="29"/>
      <c r="N52" s="29"/>
      <c r="O52" s="29"/>
      <c r="P52" s="29"/>
      <c r="R52" s="210"/>
    </row>
    <row r="53" spans="1:16" ht="30" customHeight="1">
      <c r="A53" s="211"/>
      <c r="B53" s="317"/>
      <c r="C53" s="418" t="s">
        <v>849</v>
      </c>
      <c r="D53" s="418"/>
      <c r="E53" s="418"/>
      <c r="F53" s="418"/>
      <c r="G53" s="418"/>
      <c r="H53" s="418"/>
      <c r="I53" s="418"/>
      <c r="J53" s="418"/>
      <c r="K53" s="418"/>
      <c r="L53" s="30"/>
      <c r="M53" s="30"/>
      <c r="N53" s="30"/>
      <c r="O53" s="30"/>
      <c r="P53" s="31"/>
    </row>
    <row r="54" spans="1:18" ht="30" customHeight="1">
      <c r="A54" s="211"/>
      <c r="B54" s="211"/>
      <c r="C54" s="433" t="s">
        <v>451</v>
      </c>
      <c r="D54" s="433"/>
      <c r="E54" s="433"/>
      <c r="F54" s="433"/>
      <c r="G54" s="433"/>
      <c r="H54" s="433"/>
      <c r="I54" s="433"/>
      <c r="J54" s="433"/>
      <c r="K54" s="433"/>
      <c r="L54" s="30"/>
      <c r="M54" s="30"/>
      <c r="N54" s="30"/>
      <c r="O54" s="30"/>
      <c r="P54" s="31"/>
      <c r="R54" s="212"/>
    </row>
    <row r="55" spans="1:16" ht="15">
      <c r="A55" s="234"/>
      <c r="B55" s="235"/>
      <c r="C55" s="234"/>
      <c r="D55" s="222"/>
      <c r="E55" s="223"/>
      <c r="F55" s="223"/>
      <c r="G55" s="223"/>
      <c r="H55" s="207"/>
      <c r="I55" s="207"/>
      <c r="J55" s="223"/>
      <c r="K55" s="223"/>
      <c r="L55" s="223"/>
      <c r="M55" s="223"/>
      <c r="N55" s="223"/>
      <c r="O55" s="223"/>
      <c r="P55" s="223"/>
    </row>
    <row r="56" spans="1:16" ht="15">
      <c r="A56" s="234"/>
      <c r="B56" s="235"/>
      <c r="C56" s="234"/>
      <c r="D56" s="222"/>
      <c r="E56" s="223"/>
      <c r="F56" s="223"/>
      <c r="G56" s="223"/>
      <c r="H56" s="207"/>
      <c r="I56" s="207"/>
      <c r="J56" s="223"/>
      <c r="K56" s="223"/>
      <c r="L56" s="223"/>
      <c r="M56" s="223"/>
      <c r="N56" s="223"/>
      <c r="O56" s="223"/>
      <c r="P56" s="223"/>
    </row>
    <row r="57" spans="1:16" ht="15">
      <c r="A57" s="234"/>
      <c r="B57" s="235"/>
      <c r="C57" s="234"/>
      <c r="D57" s="222"/>
      <c r="E57" s="223"/>
      <c r="F57" s="223"/>
      <c r="G57" s="223"/>
      <c r="H57" s="207"/>
      <c r="I57" s="207"/>
      <c r="J57" s="223"/>
      <c r="K57" s="223"/>
      <c r="L57" s="223"/>
      <c r="M57" s="223"/>
      <c r="N57" s="223"/>
      <c r="O57" s="223"/>
      <c r="P57" s="223"/>
    </row>
    <row r="58" spans="1:16" ht="21.75" customHeight="1">
      <c r="A58" s="432" t="s">
        <v>9</v>
      </c>
      <c r="B58" s="432"/>
      <c r="C58" s="218"/>
      <c r="D58" s="207"/>
      <c r="E58" s="219">
        <f>'1-1 (1)'!E21</f>
        <v>0</v>
      </c>
      <c r="F58" s="220"/>
      <c r="G58" s="220"/>
      <c r="H58" s="221"/>
      <c r="I58" s="434" t="s">
        <v>72</v>
      </c>
      <c r="J58" s="434"/>
      <c r="K58" s="220"/>
      <c r="L58" s="220"/>
      <c r="M58" s="220"/>
      <c r="N58" s="219">
        <f>'1-1 (1)'!N21</f>
        <v>0</v>
      </c>
      <c r="O58" s="220"/>
      <c r="P58" s="220"/>
    </row>
    <row r="59" spans="1:16" ht="15">
      <c r="A59" s="217"/>
      <c r="B59" s="217"/>
      <c r="C59" s="435" t="s">
        <v>10</v>
      </c>
      <c r="D59" s="435"/>
      <c r="E59" s="435"/>
      <c r="F59" s="435"/>
      <c r="G59" s="435"/>
      <c r="H59" s="207"/>
      <c r="I59" s="190"/>
      <c r="J59" s="190"/>
      <c r="K59" s="436" t="s">
        <v>10</v>
      </c>
      <c r="L59" s="436"/>
      <c r="M59" s="436"/>
      <c r="N59" s="436"/>
      <c r="O59" s="436"/>
      <c r="P59" s="436"/>
    </row>
    <row r="60" spans="1:16" ht="15">
      <c r="A60" s="217"/>
      <c r="B60" s="217"/>
      <c r="C60" s="217"/>
      <c r="D60" s="222"/>
      <c r="E60" s="223"/>
      <c r="F60" s="223"/>
      <c r="G60" s="223"/>
      <c r="H60" s="207"/>
      <c r="I60" s="207"/>
      <c r="J60" s="223"/>
      <c r="K60" s="223"/>
      <c r="L60" s="223"/>
      <c r="M60" s="223"/>
      <c r="N60" s="223"/>
      <c r="O60" s="223"/>
      <c r="P60" s="223"/>
    </row>
    <row r="61" spans="1:16" ht="20.25" customHeight="1">
      <c r="A61" s="87"/>
      <c r="B61" s="217"/>
      <c r="C61" s="87"/>
      <c r="D61" s="224"/>
      <c r="E61" s="223"/>
      <c r="F61" s="223"/>
      <c r="G61" s="223"/>
      <c r="H61" s="207"/>
      <c r="I61" s="432" t="s">
        <v>11</v>
      </c>
      <c r="J61" s="432"/>
      <c r="K61" s="218">
        <f>'1-1 (1)'!K24</f>
        <v>0</v>
      </c>
      <c r="L61" s="223"/>
      <c r="M61" s="223"/>
      <c r="N61" s="223"/>
      <c r="O61" s="223"/>
      <c r="P61" s="223"/>
    </row>
    <row r="62" spans="1:16" ht="15">
      <c r="A62" s="234"/>
      <c r="B62" s="235"/>
      <c r="C62" s="234"/>
      <c r="D62" s="222"/>
      <c r="E62" s="223"/>
      <c r="F62" s="223"/>
      <c r="G62" s="223"/>
      <c r="H62" s="207"/>
      <c r="I62" s="207"/>
      <c r="J62" s="223"/>
      <c r="K62" s="223"/>
      <c r="L62" s="223"/>
      <c r="M62" s="223"/>
      <c r="N62" s="223"/>
      <c r="O62" s="223"/>
      <c r="P62" s="223"/>
    </row>
    <row r="63" spans="1:16" ht="15">
      <c r="A63" s="234"/>
      <c r="B63" s="235"/>
      <c r="C63" s="234"/>
      <c r="D63" s="222"/>
      <c r="E63" s="223"/>
      <c r="F63" s="223"/>
      <c r="G63" s="223"/>
      <c r="H63" s="207"/>
      <c r="I63" s="207"/>
      <c r="J63" s="223"/>
      <c r="K63" s="223"/>
      <c r="L63" s="223"/>
      <c r="M63" s="223"/>
      <c r="N63" s="223"/>
      <c r="O63" s="223"/>
      <c r="P63" s="223"/>
    </row>
    <row r="64" spans="1:16" ht="15">
      <c r="A64" s="234"/>
      <c r="B64" s="235"/>
      <c r="C64" s="234"/>
      <c r="D64" s="222"/>
      <c r="E64" s="223"/>
      <c r="F64" s="223"/>
      <c r="G64" s="223"/>
      <c r="H64" s="207"/>
      <c r="I64" s="207"/>
      <c r="J64" s="223"/>
      <c r="K64" s="223"/>
      <c r="L64" s="223"/>
      <c r="M64" s="223"/>
      <c r="N64" s="223"/>
      <c r="O64" s="223"/>
      <c r="P64" s="223"/>
    </row>
    <row r="65" spans="1:16" ht="15">
      <c r="A65" s="234"/>
      <c r="B65" s="235"/>
      <c r="C65" s="234"/>
      <c r="D65" s="222"/>
      <c r="E65" s="223"/>
      <c r="F65" s="223"/>
      <c r="G65" s="223"/>
      <c r="H65" s="207"/>
      <c r="I65" s="207"/>
      <c r="J65" s="223"/>
      <c r="K65" s="223"/>
      <c r="L65" s="223"/>
      <c r="M65" s="223"/>
      <c r="N65" s="223"/>
      <c r="O65" s="223"/>
      <c r="P65" s="223"/>
    </row>
    <row r="66" spans="1:16" ht="15">
      <c r="A66" s="234"/>
      <c r="B66" s="235"/>
      <c r="C66" s="234"/>
      <c r="D66" s="222"/>
      <c r="E66" s="223"/>
      <c r="F66" s="223"/>
      <c r="G66" s="223"/>
      <c r="H66" s="207"/>
      <c r="I66" s="207"/>
      <c r="J66" s="223"/>
      <c r="K66" s="223"/>
      <c r="L66" s="223"/>
      <c r="M66" s="223"/>
      <c r="N66" s="223"/>
      <c r="O66" s="223"/>
      <c r="P66" s="223"/>
    </row>
    <row r="67" spans="1:16" ht="15">
      <c r="A67" s="234"/>
      <c r="B67" s="235"/>
      <c r="C67" s="234"/>
      <c r="D67" s="222"/>
      <c r="E67" s="223"/>
      <c r="F67" s="223"/>
      <c r="G67" s="223"/>
      <c r="H67" s="207"/>
      <c r="I67" s="207"/>
      <c r="J67" s="223"/>
      <c r="K67" s="223"/>
      <c r="L67" s="223"/>
      <c r="M67" s="223"/>
      <c r="N67" s="223"/>
      <c r="O67" s="223"/>
      <c r="P67" s="223"/>
    </row>
    <row r="68" spans="1:16" ht="15">
      <c r="A68" s="234"/>
      <c r="B68" s="235"/>
      <c r="C68" s="234"/>
      <c r="D68" s="222"/>
      <c r="E68" s="223"/>
      <c r="F68" s="223"/>
      <c r="G68" s="223"/>
      <c r="H68" s="207"/>
      <c r="I68" s="207"/>
      <c r="J68" s="223"/>
      <c r="K68" s="223"/>
      <c r="L68" s="223"/>
      <c r="M68" s="223"/>
      <c r="N68" s="223"/>
      <c r="O68" s="223"/>
      <c r="P68" s="223"/>
    </row>
    <row r="69" spans="1:16" ht="15">
      <c r="A69" s="234"/>
      <c r="B69" s="235"/>
      <c r="C69" s="234"/>
      <c r="D69" s="222"/>
      <c r="E69" s="223"/>
      <c r="F69" s="223"/>
      <c r="G69" s="223"/>
      <c r="H69" s="207"/>
      <c r="I69" s="207"/>
      <c r="J69" s="223"/>
      <c r="K69" s="223"/>
      <c r="L69" s="223"/>
      <c r="M69" s="223"/>
      <c r="N69" s="223"/>
      <c r="O69" s="223"/>
      <c r="P69" s="223"/>
    </row>
    <row r="70" spans="1:16" ht="15">
      <c r="A70" s="234"/>
      <c r="B70" s="235"/>
      <c r="C70" s="234"/>
      <c r="D70" s="222"/>
      <c r="E70" s="223"/>
      <c r="F70" s="223"/>
      <c r="G70" s="223"/>
      <c r="H70" s="207"/>
      <c r="I70" s="207"/>
      <c r="J70" s="223"/>
      <c r="K70" s="223"/>
      <c r="L70" s="223"/>
      <c r="M70" s="223"/>
      <c r="N70" s="223"/>
      <c r="O70" s="223"/>
      <c r="P70" s="223"/>
    </row>
    <row r="71" spans="1:16" ht="15">
      <c r="A71" s="234"/>
      <c r="B71" s="235"/>
      <c r="C71" s="234"/>
      <c r="D71" s="222"/>
      <c r="E71" s="223"/>
      <c r="F71" s="223"/>
      <c r="G71" s="223"/>
      <c r="H71" s="207"/>
      <c r="I71" s="207"/>
      <c r="J71" s="223"/>
      <c r="K71" s="223"/>
      <c r="L71" s="223"/>
      <c r="M71" s="223"/>
      <c r="N71" s="223"/>
      <c r="O71" s="223"/>
      <c r="P71" s="223"/>
    </row>
    <row r="72" spans="1:16" ht="15">
      <c r="A72" s="234"/>
      <c r="B72" s="235"/>
      <c r="C72" s="234"/>
      <c r="D72" s="222"/>
      <c r="E72" s="223"/>
      <c r="F72" s="223"/>
      <c r="G72" s="223"/>
      <c r="H72" s="207"/>
      <c r="I72" s="207"/>
      <c r="J72" s="223"/>
      <c r="K72" s="223"/>
      <c r="L72" s="223"/>
      <c r="M72" s="223"/>
      <c r="N72" s="223"/>
      <c r="O72" s="223"/>
      <c r="P72" s="223"/>
    </row>
    <row r="73" spans="1:16" ht="15">
      <c r="A73" s="234"/>
      <c r="B73" s="235"/>
      <c r="C73" s="234"/>
      <c r="D73" s="222"/>
      <c r="E73" s="223"/>
      <c r="F73" s="223"/>
      <c r="G73" s="223"/>
      <c r="H73" s="207"/>
      <c r="I73" s="207"/>
      <c r="J73" s="223"/>
      <c r="K73" s="223"/>
      <c r="L73" s="223"/>
      <c r="M73" s="223"/>
      <c r="N73" s="223"/>
      <c r="O73" s="223"/>
      <c r="P73" s="223"/>
    </row>
    <row r="74" spans="1:16" ht="15">
      <c r="A74" s="234"/>
      <c r="B74" s="235"/>
      <c r="C74" s="234"/>
      <c r="D74" s="222"/>
      <c r="E74" s="223"/>
      <c r="F74" s="223"/>
      <c r="G74" s="223"/>
      <c r="H74" s="207"/>
      <c r="I74" s="207"/>
      <c r="J74" s="223"/>
      <c r="K74" s="223"/>
      <c r="L74" s="223"/>
      <c r="M74" s="223"/>
      <c r="N74" s="223"/>
      <c r="O74" s="223"/>
      <c r="P74" s="223"/>
    </row>
    <row r="75" spans="1:16" ht="15">
      <c r="A75" s="234"/>
      <c r="B75" s="235"/>
      <c r="C75" s="234"/>
      <c r="D75" s="222"/>
      <c r="E75" s="223"/>
      <c r="F75" s="223"/>
      <c r="G75" s="223"/>
      <c r="H75" s="207"/>
      <c r="I75" s="207"/>
      <c r="J75" s="223"/>
      <c r="K75" s="223"/>
      <c r="L75" s="223"/>
      <c r="M75" s="223"/>
      <c r="N75" s="223"/>
      <c r="O75" s="223"/>
      <c r="P75" s="223"/>
    </row>
    <row r="76" spans="1:16" ht="15">
      <c r="A76" s="234"/>
      <c r="B76" s="235"/>
      <c r="C76" s="234"/>
      <c r="D76" s="222"/>
      <c r="E76" s="223"/>
      <c r="F76" s="223"/>
      <c r="G76" s="223"/>
      <c r="H76" s="207"/>
      <c r="I76" s="207"/>
      <c r="J76" s="223"/>
      <c r="K76" s="223"/>
      <c r="L76" s="223"/>
      <c r="M76" s="223"/>
      <c r="N76" s="223"/>
      <c r="O76" s="223"/>
      <c r="P76" s="223"/>
    </row>
    <row r="77" spans="1:16" ht="15">
      <c r="A77" s="234"/>
      <c r="B77" s="235"/>
      <c r="C77" s="234"/>
      <c r="D77" s="222"/>
      <c r="E77" s="223"/>
      <c r="F77" s="223"/>
      <c r="G77" s="223"/>
      <c r="H77" s="207"/>
      <c r="I77" s="207"/>
      <c r="J77" s="223"/>
      <c r="K77" s="223"/>
      <c r="L77" s="223"/>
      <c r="M77" s="223"/>
      <c r="N77" s="223"/>
      <c r="O77" s="223"/>
      <c r="P77" s="223"/>
    </row>
    <row r="78" spans="1:16" ht="15">
      <c r="A78" s="234"/>
      <c r="B78" s="235"/>
      <c r="C78" s="234"/>
      <c r="D78" s="222"/>
      <c r="E78" s="223"/>
      <c r="F78" s="223"/>
      <c r="G78" s="223"/>
      <c r="H78" s="207"/>
      <c r="I78" s="207"/>
      <c r="J78" s="223"/>
      <c r="K78" s="223"/>
      <c r="L78" s="223"/>
      <c r="M78" s="223"/>
      <c r="N78" s="223"/>
      <c r="O78" s="223"/>
      <c r="P78" s="223"/>
    </row>
    <row r="79" spans="1:16" ht="15">
      <c r="A79" s="234"/>
      <c r="B79" s="235"/>
      <c r="C79" s="234"/>
      <c r="D79" s="222"/>
      <c r="E79" s="223"/>
      <c r="F79" s="223"/>
      <c r="G79" s="223"/>
      <c r="H79" s="207"/>
      <c r="I79" s="207"/>
      <c r="J79" s="223"/>
      <c r="K79" s="223"/>
      <c r="L79" s="223"/>
      <c r="M79" s="223"/>
      <c r="N79" s="223"/>
      <c r="O79" s="223"/>
      <c r="P79" s="223"/>
    </row>
    <row r="80" spans="1:16" ht="15">
      <c r="A80" s="234"/>
      <c r="B80" s="235"/>
      <c r="C80" s="234"/>
      <c r="D80" s="222"/>
      <c r="E80" s="223"/>
      <c r="F80" s="223"/>
      <c r="G80" s="223"/>
      <c r="H80" s="207"/>
      <c r="I80" s="207"/>
      <c r="J80" s="223"/>
      <c r="K80" s="223"/>
      <c r="L80" s="223"/>
      <c r="M80" s="223"/>
      <c r="N80" s="223"/>
      <c r="O80" s="223"/>
      <c r="P80" s="223"/>
    </row>
    <row r="81" spans="1:16" ht="15">
      <c r="A81" s="234"/>
      <c r="B81" s="235"/>
      <c r="C81" s="234"/>
      <c r="D81" s="222"/>
      <c r="E81" s="223"/>
      <c r="F81" s="223"/>
      <c r="G81" s="223"/>
      <c r="H81" s="207"/>
      <c r="I81" s="207"/>
      <c r="J81" s="223"/>
      <c r="K81" s="223"/>
      <c r="L81" s="223"/>
      <c r="M81" s="223"/>
      <c r="N81" s="223"/>
      <c r="O81" s="223"/>
      <c r="P81" s="223"/>
    </row>
    <row r="82" spans="1:16" ht="15">
      <c r="A82" s="234"/>
      <c r="B82" s="235"/>
      <c r="C82" s="234"/>
      <c r="D82" s="222"/>
      <c r="E82" s="223"/>
      <c r="F82" s="223"/>
      <c r="G82" s="223"/>
      <c r="H82" s="207"/>
      <c r="I82" s="207"/>
      <c r="J82" s="223"/>
      <c r="K82" s="223"/>
      <c r="L82" s="223"/>
      <c r="M82" s="223"/>
      <c r="N82" s="223"/>
      <c r="O82" s="223"/>
      <c r="P82" s="223"/>
    </row>
    <row r="83" spans="1:16" ht="15">
      <c r="A83" s="234"/>
      <c r="B83" s="235"/>
      <c r="C83" s="234"/>
      <c r="D83" s="222"/>
      <c r="E83" s="223"/>
      <c r="F83" s="223"/>
      <c r="G83" s="223"/>
      <c r="H83" s="207"/>
      <c r="I83" s="207"/>
      <c r="J83" s="223"/>
      <c r="K83" s="223"/>
      <c r="L83" s="223"/>
      <c r="M83" s="223"/>
      <c r="N83" s="223"/>
      <c r="O83" s="223"/>
      <c r="P83" s="223"/>
    </row>
    <row r="84" spans="1:16" ht="15">
      <c r="A84" s="234"/>
      <c r="B84" s="235"/>
      <c r="C84" s="234"/>
      <c r="D84" s="222"/>
      <c r="E84" s="223"/>
      <c r="F84" s="223"/>
      <c r="G84" s="223"/>
      <c r="H84" s="207"/>
      <c r="I84" s="207"/>
      <c r="J84" s="223"/>
      <c r="K84" s="223"/>
      <c r="L84" s="223"/>
      <c r="M84" s="223"/>
      <c r="N84" s="223"/>
      <c r="O84" s="223"/>
      <c r="P84" s="223"/>
    </row>
    <row r="85" spans="1:16" ht="15">
      <c r="A85" s="234"/>
      <c r="B85" s="235"/>
      <c r="C85" s="234"/>
      <c r="D85" s="222"/>
      <c r="E85" s="223"/>
      <c r="F85" s="223"/>
      <c r="G85" s="223"/>
      <c r="H85" s="207"/>
      <c r="I85" s="207"/>
      <c r="J85" s="223"/>
      <c r="K85" s="223"/>
      <c r="L85" s="223"/>
      <c r="M85" s="223"/>
      <c r="N85" s="223"/>
      <c r="O85" s="223"/>
      <c r="P85" s="223"/>
    </row>
    <row r="86" spans="1:16" ht="15">
      <c r="A86" s="234"/>
      <c r="B86" s="235"/>
      <c r="C86" s="234"/>
      <c r="D86" s="222"/>
      <c r="E86" s="223"/>
      <c r="F86" s="223"/>
      <c r="G86" s="223"/>
      <c r="H86" s="207"/>
      <c r="I86" s="207"/>
      <c r="J86" s="223"/>
      <c r="K86" s="223"/>
      <c r="L86" s="223"/>
      <c r="M86" s="223"/>
      <c r="N86" s="223"/>
      <c r="O86" s="223"/>
      <c r="P86" s="223"/>
    </row>
    <row r="87" spans="1:16" ht="15">
      <c r="A87" s="234"/>
      <c r="B87" s="235"/>
      <c r="C87" s="234"/>
      <c r="D87" s="222"/>
      <c r="E87" s="223"/>
      <c r="F87" s="223"/>
      <c r="G87" s="223"/>
      <c r="H87" s="207"/>
      <c r="I87" s="207"/>
      <c r="J87" s="223"/>
      <c r="K87" s="223"/>
      <c r="L87" s="223"/>
      <c r="M87" s="223"/>
      <c r="N87" s="223"/>
      <c r="O87" s="223"/>
      <c r="P87" s="223"/>
    </row>
    <row r="88" spans="1:16" ht="15">
      <c r="A88" s="234"/>
      <c r="B88" s="235"/>
      <c r="C88" s="234"/>
      <c r="D88" s="222"/>
      <c r="E88" s="223"/>
      <c r="F88" s="223"/>
      <c r="G88" s="223"/>
      <c r="H88" s="207"/>
      <c r="I88" s="207"/>
      <c r="J88" s="223"/>
      <c r="K88" s="223"/>
      <c r="L88" s="223"/>
      <c r="M88" s="223"/>
      <c r="N88" s="223"/>
      <c r="O88" s="223"/>
      <c r="P88" s="223"/>
    </row>
    <row r="89" spans="1:16" ht="15">
      <c r="A89" s="234"/>
      <c r="B89" s="235"/>
      <c r="C89" s="234"/>
      <c r="D89" s="222"/>
      <c r="E89" s="223"/>
      <c r="F89" s="223"/>
      <c r="G89" s="223"/>
      <c r="H89" s="207"/>
      <c r="I89" s="207"/>
      <c r="J89" s="223"/>
      <c r="K89" s="223"/>
      <c r="L89" s="223"/>
      <c r="M89" s="223"/>
      <c r="N89" s="223"/>
      <c r="O89" s="223"/>
      <c r="P89" s="223"/>
    </row>
    <row r="90" spans="1:16" ht="15">
      <c r="A90" s="234"/>
      <c r="B90" s="235"/>
      <c r="C90" s="234"/>
      <c r="D90" s="222"/>
      <c r="E90" s="223"/>
      <c r="F90" s="223"/>
      <c r="G90" s="223"/>
      <c r="H90" s="207"/>
      <c r="I90" s="207"/>
      <c r="J90" s="223"/>
      <c r="K90" s="223"/>
      <c r="L90" s="223"/>
      <c r="M90" s="223"/>
      <c r="N90" s="223"/>
      <c r="O90" s="223"/>
      <c r="P90" s="223"/>
    </row>
    <row r="91" spans="1:16" ht="15">
      <c r="A91" s="234"/>
      <c r="B91" s="235"/>
      <c r="C91" s="234"/>
      <c r="D91" s="222"/>
      <c r="E91" s="223"/>
      <c r="F91" s="223"/>
      <c r="G91" s="223"/>
      <c r="H91" s="207"/>
      <c r="I91" s="207"/>
      <c r="J91" s="223"/>
      <c r="K91" s="223"/>
      <c r="L91" s="223"/>
      <c r="M91" s="223"/>
      <c r="N91" s="223"/>
      <c r="O91" s="223"/>
      <c r="P91" s="223"/>
    </row>
    <row r="92" spans="1:16" ht="15">
      <c r="A92" s="234"/>
      <c r="B92" s="235"/>
      <c r="C92" s="234"/>
      <c r="D92" s="222"/>
      <c r="E92" s="223"/>
      <c r="F92" s="223"/>
      <c r="G92" s="223"/>
      <c r="H92" s="207"/>
      <c r="I92" s="207"/>
      <c r="J92" s="223"/>
      <c r="K92" s="223"/>
      <c r="L92" s="223"/>
      <c r="M92" s="223"/>
      <c r="N92" s="223"/>
      <c r="O92" s="223"/>
      <c r="P92" s="223"/>
    </row>
    <row r="93" spans="1:16" ht="15">
      <c r="A93" s="234"/>
      <c r="B93" s="235"/>
      <c r="C93" s="234"/>
      <c r="D93" s="222"/>
      <c r="E93" s="223"/>
      <c r="F93" s="223"/>
      <c r="G93" s="223"/>
      <c r="H93" s="207"/>
      <c r="I93" s="207"/>
      <c r="J93" s="223"/>
      <c r="K93" s="223"/>
      <c r="L93" s="223"/>
      <c r="M93" s="223"/>
      <c r="N93" s="223"/>
      <c r="O93" s="223"/>
      <c r="P93" s="223"/>
    </row>
    <row r="94" spans="1:16" ht="15">
      <c r="A94" s="234"/>
      <c r="B94" s="235"/>
      <c r="C94" s="234"/>
      <c r="D94" s="222"/>
      <c r="E94" s="223"/>
      <c r="F94" s="223"/>
      <c r="G94" s="223"/>
      <c r="H94" s="207"/>
      <c r="I94" s="207"/>
      <c r="J94" s="223"/>
      <c r="K94" s="223"/>
      <c r="L94" s="223"/>
      <c r="M94" s="223"/>
      <c r="N94" s="223"/>
      <c r="O94" s="223"/>
      <c r="P94" s="223"/>
    </row>
    <row r="95" spans="1:16" ht="15">
      <c r="A95" s="234"/>
      <c r="B95" s="235"/>
      <c r="C95" s="234"/>
      <c r="D95" s="222"/>
      <c r="E95" s="223"/>
      <c r="F95" s="223"/>
      <c r="G95" s="223"/>
      <c r="H95" s="207"/>
      <c r="I95" s="207"/>
      <c r="J95" s="223"/>
      <c r="K95" s="223"/>
      <c r="L95" s="223"/>
      <c r="M95" s="223"/>
      <c r="N95" s="223"/>
      <c r="O95" s="223"/>
      <c r="P95" s="223"/>
    </row>
    <row r="96" spans="1:16" ht="15">
      <c r="A96" s="234"/>
      <c r="B96" s="235"/>
      <c r="C96" s="234"/>
      <c r="D96" s="222"/>
      <c r="E96" s="223"/>
      <c r="F96" s="223"/>
      <c r="G96" s="223"/>
      <c r="H96" s="207"/>
      <c r="I96" s="207"/>
      <c r="J96" s="223"/>
      <c r="K96" s="223"/>
      <c r="L96" s="223"/>
      <c r="M96" s="223"/>
      <c r="N96" s="223"/>
      <c r="O96" s="223"/>
      <c r="P96" s="223"/>
    </row>
    <row r="97" spans="1:16" ht="15">
      <c r="A97" s="234"/>
      <c r="B97" s="235"/>
      <c r="C97" s="234"/>
      <c r="D97" s="222"/>
      <c r="E97" s="223"/>
      <c r="F97" s="223"/>
      <c r="G97" s="223"/>
      <c r="H97" s="207"/>
      <c r="I97" s="207"/>
      <c r="J97" s="223"/>
      <c r="K97" s="223"/>
      <c r="L97" s="223"/>
      <c r="M97" s="223"/>
      <c r="N97" s="223"/>
      <c r="O97" s="223"/>
      <c r="P97" s="223"/>
    </row>
    <row r="98" spans="1:16" ht="15">
      <c r="A98" s="234"/>
      <c r="B98" s="235"/>
      <c r="C98" s="234"/>
      <c r="D98" s="222"/>
      <c r="E98" s="223"/>
      <c r="F98" s="223"/>
      <c r="G98" s="223"/>
      <c r="H98" s="207"/>
      <c r="I98" s="207"/>
      <c r="J98" s="223"/>
      <c r="K98" s="223"/>
      <c r="L98" s="223"/>
      <c r="M98" s="223"/>
      <c r="N98" s="223"/>
      <c r="O98" s="223"/>
      <c r="P98" s="223"/>
    </row>
    <row r="99" spans="1:16" ht="15">
      <c r="A99" s="234"/>
      <c r="B99" s="235"/>
      <c r="C99" s="234"/>
      <c r="D99" s="222"/>
      <c r="E99" s="223"/>
      <c r="F99" s="223"/>
      <c r="G99" s="223"/>
      <c r="H99" s="207"/>
      <c r="I99" s="207"/>
      <c r="J99" s="223"/>
      <c r="K99" s="223"/>
      <c r="L99" s="223"/>
      <c r="M99" s="223"/>
      <c r="N99" s="223"/>
      <c r="O99" s="223"/>
      <c r="P99" s="223"/>
    </row>
    <row r="100" spans="1:16" ht="15">
      <c r="A100" s="234"/>
      <c r="B100" s="235"/>
      <c r="C100" s="234"/>
      <c r="D100" s="222"/>
      <c r="E100" s="223"/>
      <c r="F100" s="223"/>
      <c r="G100" s="223"/>
      <c r="H100" s="207"/>
      <c r="I100" s="207"/>
      <c r="J100" s="223"/>
      <c r="K100" s="223"/>
      <c r="L100" s="223"/>
      <c r="M100" s="223"/>
      <c r="N100" s="223"/>
      <c r="O100" s="223"/>
      <c r="P100" s="223"/>
    </row>
    <row r="101" spans="1:16" ht="15">
      <c r="A101" s="234"/>
      <c r="B101" s="235"/>
      <c r="C101" s="234"/>
      <c r="D101" s="222"/>
      <c r="E101" s="223"/>
      <c r="F101" s="223"/>
      <c r="G101" s="223"/>
      <c r="H101" s="207"/>
      <c r="I101" s="207"/>
      <c r="J101" s="223"/>
      <c r="K101" s="223"/>
      <c r="L101" s="223"/>
      <c r="M101" s="223"/>
      <c r="N101" s="223"/>
      <c r="O101" s="223"/>
      <c r="P101" s="223"/>
    </row>
    <row r="102" spans="1:16" ht="15">
      <c r="A102" s="234"/>
      <c r="B102" s="235"/>
      <c r="C102" s="234"/>
      <c r="D102" s="222"/>
      <c r="E102" s="223"/>
      <c r="F102" s="223"/>
      <c r="G102" s="223"/>
      <c r="H102" s="207"/>
      <c r="I102" s="207"/>
      <c r="J102" s="223"/>
      <c r="K102" s="223"/>
      <c r="L102" s="223"/>
      <c r="M102" s="223"/>
      <c r="N102" s="223"/>
      <c r="O102" s="223"/>
      <c r="P102" s="223"/>
    </row>
    <row r="103" spans="1:16" ht="15">
      <c r="A103" s="234"/>
      <c r="B103" s="235"/>
      <c r="C103" s="234"/>
      <c r="D103" s="222"/>
      <c r="E103" s="223"/>
      <c r="F103" s="223"/>
      <c r="G103" s="223"/>
      <c r="H103" s="207"/>
      <c r="I103" s="207"/>
      <c r="J103" s="223"/>
      <c r="K103" s="223"/>
      <c r="L103" s="223"/>
      <c r="M103" s="223"/>
      <c r="N103" s="223"/>
      <c r="O103" s="223"/>
      <c r="P103" s="223"/>
    </row>
    <row r="104" spans="1:16" ht="15">
      <c r="A104" s="234"/>
      <c r="B104" s="235"/>
      <c r="C104" s="234"/>
      <c r="D104" s="222"/>
      <c r="E104" s="223"/>
      <c r="F104" s="223"/>
      <c r="G104" s="223"/>
      <c r="H104" s="207"/>
      <c r="I104" s="207"/>
      <c r="J104" s="223"/>
      <c r="K104" s="223"/>
      <c r="L104" s="223"/>
      <c r="M104" s="223"/>
      <c r="N104" s="223"/>
      <c r="O104" s="223"/>
      <c r="P104" s="223"/>
    </row>
    <row r="105" spans="1:16" ht="15">
      <c r="A105" s="234"/>
      <c r="B105" s="235"/>
      <c r="C105" s="234"/>
      <c r="D105" s="222"/>
      <c r="E105" s="223"/>
      <c r="F105" s="223"/>
      <c r="G105" s="223"/>
      <c r="H105" s="207"/>
      <c r="I105" s="207"/>
      <c r="J105" s="223"/>
      <c r="K105" s="223"/>
      <c r="L105" s="223"/>
      <c r="M105" s="223"/>
      <c r="N105" s="223"/>
      <c r="O105" s="223"/>
      <c r="P105" s="223"/>
    </row>
    <row r="106" spans="1:16" ht="15">
      <c r="A106" s="234"/>
      <c r="B106" s="235"/>
      <c r="C106" s="234"/>
      <c r="D106" s="222"/>
      <c r="E106" s="223"/>
      <c r="F106" s="223"/>
      <c r="G106" s="223"/>
      <c r="H106" s="207"/>
      <c r="I106" s="207"/>
      <c r="J106" s="223"/>
      <c r="K106" s="223"/>
      <c r="L106" s="223"/>
      <c r="M106" s="223"/>
      <c r="N106" s="223"/>
      <c r="O106" s="223"/>
      <c r="P106" s="223"/>
    </row>
    <row r="107" spans="1:16" ht="15">
      <c r="A107" s="234"/>
      <c r="B107" s="235"/>
      <c r="C107" s="234"/>
      <c r="D107" s="222"/>
      <c r="E107" s="223"/>
      <c r="F107" s="223"/>
      <c r="G107" s="223"/>
      <c r="H107" s="207"/>
      <c r="I107" s="207"/>
      <c r="J107" s="223"/>
      <c r="K107" s="223"/>
      <c r="L107" s="223"/>
      <c r="M107" s="223"/>
      <c r="N107" s="223"/>
      <c r="O107" s="223"/>
      <c r="P107" s="223"/>
    </row>
    <row r="108" spans="1:16" ht="15">
      <c r="A108" s="234"/>
      <c r="B108" s="235"/>
      <c r="C108" s="234"/>
      <c r="D108" s="222"/>
      <c r="E108" s="223"/>
      <c r="F108" s="223"/>
      <c r="G108" s="223"/>
      <c r="H108" s="207"/>
      <c r="I108" s="207"/>
      <c r="J108" s="223"/>
      <c r="K108" s="223"/>
      <c r="L108" s="223"/>
      <c r="M108" s="223"/>
      <c r="N108" s="223"/>
      <c r="O108" s="223"/>
      <c r="P108" s="223"/>
    </row>
    <row r="109" spans="1:16" ht="15">
      <c r="A109" s="234"/>
      <c r="B109" s="235"/>
      <c r="C109" s="234"/>
      <c r="D109" s="222"/>
      <c r="E109" s="223"/>
      <c r="F109" s="223"/>
      <c r="G109" s="223"/>
      <c r="H109" s="207"/>
      <c r="I109" s="207"/>
      <c r="J109" s="223"/>
      <c r="K109" s="223"/>
      <c r="L109" s="223"/>
      <c r="M109" s="223"/>
      <c r="N109" s="223"/>
      <c r="O109" s="223"/>
      <c r="P109" s="223"/>
    </row>
    <row r="110" spans="1:16" ht="15">
      <c r="A110" s="234"/>
      <c r="B110" s="235"/>
      <c r="C110" s="234"/>
      <c r="D110" s="222"/>
      <c r="E110" s="223"/>
      <c r="F110" s="223"/>
      <c r="G110" s="223"/>
      <c r="H110" s="207"/>
      <c r="I110" s="207"/>
      <c r="J110" s="223"/>
      <c r="K110" s="223"/>
      <c r="L110" s="223"/>
      <c r="M110" s="223"/>
      <c r="N110" s="223"/>
      <c r="O110" s="223"/>
      <c r="P110" s="223"/>
    </row>
    <row r="111" spans="1:16" ht="15">
      <c r="A111" s="234"/>
      <c r="B111" s="235"/>
      <c r="C111" s="234"/>
      <c r="D111" s="222"/>
      <c r="E111" s="223"/>
      <c r="F111" s="223"/>
      <c r="G111" s="223"/>
      <c r="H111" s="207"/>
      <c r="I111" s="207"/>
      <c r="J111" s="223"/>
      <c r="K111" s="223"/>
      <c r="L111" s="223"/>
      <c r="M111" s="223"/>
      <c r="N111" s="223"/>
      <c r="O111" s="223"/>
      <c r="P111" s="223"/>
    </row>
    <row r="112" spans="1:16" ht="15">
      <c r="A112" s="234"/>
      <c r="B112" s="235"/>
      <c r="C112" s="234"/>
      <c r="D112" s="222"/>
      <c r="E112" s="223"/>
      <c r="F112" s="223"/>
      <c r="G112" s="223"/>
      <c r="H112" s="207"/>
      <c r="I112" s="207"/>
      <c r="J112" s="223"/>
      <c r="K112" s="223"/>
      <c r="L112" s="223"/>
      <c r="M112" s="223"/>
      <c r="N112" s="223"/>
      <c r="O112" s="223"/>
      <c r="P112" s="223"/>
    </row>
    <row r="113" spans="1:16" ht="15">
      <c r="A113" s="234"/>
      <c r="B113" s="235"/>
      <c r="C113" s="234"/>
      <c r="D113" s="222"/>
      <c r="E113" s="223"/>
      <c r="F113" s="223"/>
      <c r="G113" s="223"/>
      <c r="H113" s="207"/>
      <c r="I113" s="207"/>
      <c r="J113" s="223"/>
      <c r="K113" s="223"/>
      <c r="L113" s="223"/>
      <c r="M113" s="223"/>
      <c r="N113" s="223"/>
      <c r="O113" s="223"/>
      <c r="P113" s="223"/>
    </row>
    <row r="114" spans="1:16" ht="15">
      <c r="A114" s="234"/>
      <c r="B114" s="235"/>
      <c r="C114" s="234"/>
      <c r="D114" s="222"/>
      <c r="E114" s="223"/>
      <c r="F114" s="223"/>
      <c r="G114" s="223"/>
      <c r="H114" s="207"/>
      <c r="I114" s="207"/>
      <c r="J114" s="223"/>
      <c r="K114" s="223"/>
      <c r="L114" s="223"/>
      <c r="M114" s="223"/>
      <c r="N114" s="223"/>
      <c r="O114" s="223"/>
      <c r="P114" s="223"/>
    </row>
    <row r="115" spans="1:16" ht="15">
      <c r="A115" s="234"/>
      <c r="B115" s="235"/>
      <c r="C115" s="234"/>
      <c r="D115" s="222"/>
      <c r="E115" s="223"/>
      <c r="F115" s="223"/>
      <c r="G115" s="223"/>
      <c r="H115" s="207"/>
      <c r="I115" s="207"/>
      <c r="J115" s="223"/>
      <c r="K115" s="223"/>
      <c r="L115" s="223"/>
      <c r="M115" s="223"/>
      <c r="N115" s="223"/>
      <c r="O115" s="223"/>
      <c r="P115" s="223"/>
    </row>
    <row r="116" spans="1:16" ht="15">
      <c r="A116" s="234"/>
      <c r="B116" s="235"/>
      <c r="C116" s="234"/>
      <c r="D116" s="222"/>
      <c r="E116" s="223"/>
      <c r="F116" s="223"/>
      <c r="G116" s="223"/>
      <c r="H116" s="207"/>
      <c r="I116" s="207"/>
      <c r="J116" s="223"/>
      <c r="K116" s="223"/>
      <c r="L116" s="223"/>
      <c r="M116" s="223"/>
      <c r="N116" s="223"/>
      <c r="O116" s="223"/>
      <c r="P116" s="223"/>
    </row>
    <row r="117" spans="1:16" ht="15">
      <c r="A117" s="234"/>
      <c r="B117" s="235"/>
      <c r="C117" s="234"/>
      <c r="D117" s="222"/>
      <c r="E117" s="223"/>
      <c r="F117" s="223"/>
      <c r="G117" s="223"/>
      <c r="H117" s="207"/>
      <c r="I117" s="207"/>
      <c r="J117" s="223"/>
      <c r="K117" s="223"/>
      <c r="L117" s="223"/>
      <c r="M117" s="223"/>
      <c r="N117" s="223"/>
      <c r="O117" s="223"/>
      <c r="P117" s="223"/>
    </row>
    <row r="118" spans="1:16" ht="15">
      <c r="A118" s="234"/>
      <c r="B118" s="235"/>
      <c r="C118" s="234"/>
      <c r="D118" s="222"/>
      <c r="E118" s="223"/>
      <c r="F118" s="223"/>
      <c r="G118" s="223"/>
      <c r="H118" s="207"/>
      <c r="I118" s="207"/>
      <c r="J118" s="223"/>
      <c r="K118" s="223"/>
      <c r="L118" s="223"/>
      <c r="M118" s="223"/>
      <c r="N118" s="223"/>
      <c r="O118" s="223"/>
      <c r="P118" s="223"/>
    </row>
    <row r="119" spans="1:16" ht="15">
      <c r="A119" s="234"/>
      <c r="B119" s="235"/>
      <c r="C119" s="234"/>
      <c r="D119" s="222"/>
      <c r="E119" s="223"/>
      <c r="F119" s="223"/>
      <c r="G119" s="223"/>
      <c r="H119" s="207"/>
      <c r="I119" s="207"/>
      <c r="J119" s="223"/>
      <c r="K119" s="223"/>
      <c r="L119" s="223"/>
      <c r="M119" s="223"/>
      <c r="N119" s="223"/>
      <c r="O119" s="223"/>
      <c r="P119" s="223"/>
    </row>
    <row r="120" spans="1:16" ht="15">
      <c r="A120" s="234"/>
      <c r="B120" s="235"/>
      <c r="C120" s="234"/>
      <c r="D120" s="222"/>
      <c r="E120" s="223"/>
      <c r="F120" s="223"/>
      <c r="G120" s="223"/>
      <c r="H120" s="207"/>
      <c r="I120" s="207"/>
      <c r="J120" s="223"/>
      <c r="K120" s="223"/>
      <c r="L120" s="223"/>
      <c r="M120" s="223"/>
      <c r="N120" s="223"/>
      <c r="O120" s="223"/>
      <c r="P120" s="223"/>
    </row>
    <row r="121" spans="1:16" ht="15">
      <c r="A121" s="234"/>
      <c r="B121" s="235"/>
      <c r="C121" s="234"/>
      <c r="D121" s="222"/>
      <c r="E121" s="223"/>
      <c r="F121" s="223"/>
      <c r="G121" s="223"/>
      <c r="H121" s="207"/>
      <c r="I121" s="207"/>
      <c r="J121" s="223"/>
      <c r="K121" s="223"/>
      <c r="L121" s="223"/>
      <c r="M121" s="223"/>
      <c r="N121" s="223"/>
      <c r="O121" s="223"/>
      <c r="P121" s="223"/>
    </row>
    <row r="122" spans="1:16" ht="15">
      <c r="A122" s="234"/>
      <c r="B122" s="235"/>
      <c r="C122" s="234"/>
      <c r="D122" s="222"/>
      <c r="E122" s="223"/>
      <c r="F122" s="223"/>
      <c r="G122" s="223"/>
      <c r="H122" s="207"/>
      <c r="I122" s="207"/>
      <c r="J122" s="223"/>
      <c r="K122" s="223"/>
      <c r="L122" s="223"/>
      <c r="M122" s="223"/>
      <c r="N122" s="223"/>
      <c r="O122" s="223"/>
      <c r="P122" s="223"/>
    </row>
    <row r="123" spans="1:16" ht="15">
      <c r="A123" s="234"/>
      <c r="B123" s="235"/>
      <c r="C123" s="234"/>
      <c r="D123" s="222"/>
      <c r="E123" s="223"/>
      <c r="F123" s="223"/>
      <c r="G123" s="223"/>
      <c r="H123" s="207"/>
      <c r="I123" s="207"/>
      <c r="J123" s="223"/>
      <c r="K123" s="223"/>
      <c r="L123" s="223"/>
      <c r="M123" s="223"/>
      <c r="N123" s="223"/>
      <c r="O123" s="223"/>
      <c r="P123" s="223"/>
    </row>
    <row r="124" spans="1:16" ht="15">
      <c r="A124" s="234"/>
      <c r="B124" s="235"/>
      <c r="C124" s="234"/>
      <c r="D124" s="222"/>
      <c r="E124" s="223"/>
      <c r="F124" s="223"/>
      <c r="G124" s="223"/>
      <c r="H124" s="207"/>
      <c r="I124" s="207"/>
      <c r="J124" s="223"/>
      <c r="K124" s="223"/>
      <c r="L124" s="223"/>
      <c r="M124" s="223"/>
      <c r="N124" s="223"/>
      <c r="O124" s="223"/>
      <c r="P124" s="223"/>
    </row>
    <row r="125" spans="1:16" ht="15">
      <c r="A125" s="234"/>
      <c r="B125" s="235"/>
      <c r="C125" s="234"/>
      <c r="D125" s="222"/>
      <c r="E125" s="223"/>
      <c r="F125" s="223"/>
      <c r="G125" s="223"/>
      <c r="H125" s="207"/>
      <c r="I125" s="207"/>
      <c r="J125" s="223"/>
      <c r="K125" s="223"/>
      <c r="L125" s="223"/>
      <c r="M125" s="223"/>
      <c r="N125" s="223"/>
      <c r="O125" s="223"/>
      <c r="P125" s="223"/>
    </row>
    <row r="126" spans="1:16" ht="15">
      <c r="A126" s="234"/>
      <c r="B126" s="235"/>
      <c r="C126" s="234"/>
      <c r="D126" s="222"/>
      <c r="E126" s="223"/>
      <c r="F126" s="223"/>
      <c r="G126" s="223"/>
      <c r="H126" s="207"/>
      <c r="I126" s="207"/>
      <c r="J126" s="223"/>
      <c r="K126" s="223"/>
      <c r="L126" s="223"/>
      <c r="M126" s="223"/>
      <c r="N126" s="223"/>
      <c r="O126" s="223"/>
      <c r="P126" s="223"/>
    </row>
    <row r="127" spans="1:16" ht="15">
      <c r="A127" s="234"/>
      <c r="B127" s="235"/>
      <c r="C127" s="234"/>
      <c r="D127" s="222"/>
      <c r="E127" s="223"/>
      <c r="F127" s="223"/>
      <c r="G127" s="223"/>
      <c r="H127" s="207"/>
      <c r="I127" s="207"/>
      <c r="J127" s="223"/>
      <c r="K127" s="223"/>
      <c r="L127" s="223"/>
      <c r="M127" s="223"/>
      <c r="N127" s="223"/>
      <c r="O127" s="223"/>
      <c r="P127" s="223"/>
    </row>
    <row r="128" spans="1:16" ht="15">
      <c r="A128" s="234"/>
      <c r="B128" s="235"/>
      <c r="C128" s="234"/>
      <c r="D128" s="222"/>
      <c r="E128" s="223"/>
      <c r="F128" s="223"/>
      <c r="G128" s="223"/>
      <c r="H128" s="207"/>
      <c r="I128" s="207"/>
      <c r="J128" s="223"/>
      <c r="K128" s="223"/>
      <c r="L128" s="223"/>
      <c r="M128" s="223"/>
      <c r="N128" s="223"/>
      <c r="O128" s="223"/>
      <c r="P128" s="223"/>
    </row>
    <row r="129" spans="1:16" ht="15">
      <c r="A129" s="234"/>
      <c r="B129" s="235"/>
      <c r="C129" s="234"/>
      <c r="D129" s="222"/>
      <c r="E129" s="223"/>
      <c r="F129" s="223"/>
      <c r="G129" s="223"/>
      <c r="H129" s="207"/>
      <c r="I129" s="207"/>
      <c r="J129" s="223"/>
      <c r="K129" s="223"/>
      <c r="L129" s="223"/>
      <c r="M129" s="223"/>
      <c r="N129" s="223"/>
      <c r="O129" s="223"/>
      <c r="P129" s="223"/>
    </row>
    <row r="130" spans="1:16" ht="15">
      <c r="A130" s="234"/>
      <c r="B130" s="235"/>
      <c r="C130" s="234"/>
      <c r="D130" s="222"/>
      <c r="E130" s="223"/>
      <c r="F130" s="223"/>
      <c r="G130" s="223"/>
      <c r="H130" s="207"/>
      <c r="I130" s="207"/>
      <c r="J130" s="223"/>
      <c r="K130" s="223"/>
      <c r="L130" s="223"/>
      <c r="M130" s="223"/>
      <c r="N130" s="223"/>
      <c r="O130" s="223"/>
      <c r="P130" s="223"/>
    </row>
    <row r="131" spans="1:16" ht="15">
      <c r="A131" s="234"/>
      <c r="B131" s="235"/>
      <c r="C131" s="234"/>
      <c r="D131" s="222"/>
      <c r="E131" s="223"/>
      <c r="F131" s="223"/>
      <c r="G131" s="223"/>
      <c r="H131" s="207"/>
      <c r="I131" s="207"/>
      <c r="J131" s="223"/>
      <c r="K131" s="223"/>
      <c r="L131" s="223"/>
      <c r="M131" s="223"/>
      <c r="N131" s="223"/>
      <c r="O131" s="223"/>
      <c r="P131" s="223"/>
    </row>
    <row r="132" spans="1:16" ht="15">
      <c r="A132" s="234"/>
      <c r="B132" s="235"/>
      <c r="C132" s="234"/>
      <c r="D132" s="222"/>
      <c r="E132" s="223"/>
      <c r="F132" s="223"/>
      <c r="G132" s="223"/>
      <c r="H132" s="207"/>
      <c r="I132" s="207"/>
      <c r="J132" s="223"/>
      <c r="K132" s="223"/>
      <c r="L132" s="223"/>
      <c r="M132" s="223"/>
      <c r="N132" s="223"/>
      <c r="O132" s="223"/>
      <c r="P132" s="223"/>
    </row>
    <row r="133" spans="1:16" ht="15">
      <c r="A133" s="234"/>
      <c r="B133" s="235"/>
      <c r="C133" s="234"/>
      <c r="D133" s="222"/>
      <c r="E133" s="223"/>
      <c r="F133" s="223"/>
      <c r="G133" s="223"/>
      <c r="H133" s="207"/>
      <c r="I133" s="207"/>
      <c r="J133" s="223"/>
      <c r="K133" s="223"/>
      <c r="L133" s="223"/>
      <c r="M133" s="223"/>
      <c r="N133" s="223"/>
      <c r="O133" s="223"/>
      <c r="P133" s="223"/>
    </row>
    <row r="134" spans="1:16" ht="15">
      <c r="A134" s="234"/>
      <c r="B134" s="235"/>
      <c r="C134" s="234"/>
      <c r="D134" s="222"/>
      <c r="E134" s="223"/>
      <c r="F134" s="223"/>
      <c r="G134" s="223"/>
      <c r="H134" s="207"/>
      <c r="I134" s="207"/>
      <c r="J134" s="223"/>
      <c r="K134" s="223"/>
      <c r="L134" s="223"/>
      <c r="M134" s="223"/>
      <c r="N134" s="223"/>
      <c r="O134" s="223"/>
      <c r="P134" s="223"/>
    </row>
    <row r="135" spans="1:16" ht="15">
      <c r="A135" s="234"/>
      <c r="B135" s="235"/>
      <c r="C135" s="234"/>
      <c r="D135" s="222"/>
      <c r="E135" s="223"/>
      <c r="F135" s="223"/>
      <c r="G135" s="223"/>
      <c r="H135" s="207"/>
      <c r="I135" s="207"/>
      <c r="J135" s="223"/>
      <c r="K135" s="223"/>
      <c r="L135" s="223"/>
      <c r="M135" s="223"/>
      <c r="N135" s="223"/>
      <c r="O135" s="223"/>
      <c r="P135" s="223"/>
    </row>
    <row r="136" spans="1:16" ht="15">
      <c r="A136" s="234"/>
      <c r="B136" s="235"/>
      <c r="C136" s="234"/>
      <c r="D136" s="222"/>
      <c r="E136" s="223"/>
      <c r="F136" s="223"/>
      <c r="G136" s="223"/>
      <c r="H136" s="207"/>
      <c r="I136" s="207"/>
      <c r="J136" s="223"/>
      <c r="K136" s="223"/>
      <c r="L136" s="223"/>
      <c r="M136" s="223"/>
      <c r="N136" s="223"/>
      <c r="O136" s="223"/>
      <c r="P136" s="223"/>
    </row>
    <row r="137" spans="1:16" ht="15">
      <c r="A137" s="234"/>
      <c r="B137" s="235"/>
      <c r="C137" s="234"/>
      <c r="D137" s="222"/>
      <c r="E137" s="223"/>
      <c r="F137" s="223"/>
      <c r="G137" s="223"/>
      <c r="H137" s="207"/>
      <c r="I137" s="207"/>
      <c r="J137" s="223"/>
      <c r="K137" s="223"/>
      <c r="L137" s="223"/>
      <c r="M137" s="223"/>
      <c r="N137" s="223"/>
      <c r="O137" s="223"/>
      <c r="P137" s="223"/>
    </row>
    <row r="138" spans="1:16" ht="15">
      <c r="A138" s="234"/>
      <c r="B138" s="235"/>
      <c r="C138" s="234"/>
      <c r="D138" s="222"/>
      <c r="E138" s="223"/>
      <c r="F138" s="223"/>
      <c r="G138" s="223"/>
      <c r="H138" s="207"/>
      <c r="I138" s="207"/>
      <c r="J138" s="223"/>
      <c r="K138" s="223"/>
      <c r="L138" s="223"/>
      <c r="M138" s="223"/>
      <c r="N138" s="223"/>
      <c r="O138" s="223"/>
      <c r="P138" s="223"/>
    </row>
    <row r="139" spans="1:16" ht="15">
      <c r="A139" s="234"/>
      <c r="B139" s="235"/>
      <c r="C139" s="234"/>
      <c r="D139" s="222"/>
      <c r="E139" s="223"/>
      <c r="F139" s="223"/>
      <c r="G139" s="223"/>
      <c r="H139" s="207"/>
      <c r="I139" s="207"/>
      <c r="J139" s="223"/>
      <c r="K139" s="223"/>
      <c r="L139" s="223"/>
      <c r="M139" s="223"/>
      <c r="N139" s="223"/>
      <c r="O139" s="223"/>
      <c r="P139" s="223"/>
    </row>
    <row r="140" spans="1:16" ht="15">
      <c r="A140" s="234"/>
      <c r="B140" s="235"/>
      <c r="C140" s="234"/>
      <c r="D140" s="222"/>
      <c r="E140" s="223"/>
      <c r="F140" s="223"/>
      <c r="G140" s="223"/>
      <c r="H140" s="207"/>
      <c r="I140" s="207"/>
      <c r="J140" s="223"/>
      <c r="K140" s="223"/>
      <c r="L140" s="223"/>
      <c r="M140" s="223"/>
      <c r="N140" s="223"/>
      <c r="O140" s="223"/>
      <c r="P140" s="223"/>
    </row>
    <row r="141" spans="1:16" ht="15">
      <c r="A141" s="234"/>
      <c r="B141" s="235"/>
      <c r="C141" s="234"/>
      <c r="D141" s="222"/>
      <c r="E141" s="223"/>
      <c r="F141" s="223"/>
      <c r="G141" s="223"/>
      <c r="H141" s="207"/>
      <c r="I141" s="207"/>
      <c r="J141" s="223"/>
      <c r="K141" s="223"/>
      <c r="L141" s="223"/>
      <c r="M141" s="223"/>
      <c r="N141" s="223"/>
      <c r="O141" s="223"/>
      <c r="P141" s="223"/>
    </row>
    <row r="142" spans="1:16" ht="15">
      <c r="A142" s="234"/>
      <c r="B142" s="235"/>
      <c r="C142" s="234"/>
      <c r="D142" s="222"/>
      <c r="E142" s="223"/>
      <c r="F142" s="223"/>
      <c r="G142" s="223"/>
      <c r="H142" s="207"/>
      <c r="I142" s="207"/>
      <c r="J142" s="223"/>
      <c r="K142" s="223"/>
      <c r="L142" s="223"/>
      <c r="M142" s="223"/>
      <c r="N142" s="223"/>
      <c r="O142" s="223"/>
      <c r="P142" s="223"/>
    </row>
    <row r="143" spans="1:16" ht="15">
      <c r="A143" s="234"/>
      <c r="B143" s="235"/>
      <c r="C143" s="234"/>
      <c r="D143" s="222"/>
      <c r="E143" s="223"/>
      <c r="F143" s="223"/>
      <c r="G143" s="223"/>
      <c r="H143" s="207"/>
      <c r="I143" s="207"/>
      <c r="J143" s="223"/>
      <c r="K143" s="223"/>
      <c r="L143" s="223"/>
      <c r="M143" s="223"/>
      <c r="N143" s="223"/>
      <c r="O143" s="223"/>
      <c r="P143" s="223"/>
    </row>
    <row r="144" spans="1:16" ht="15">
      <c r="A144" s="234"/>
      <c r="B144" s="235"/>
      <c r="C144" s="234"/>
      <c r="D144" s="222"/>
      <c r="E144" s="223"/>
      <c r="F144" s="223"/>
      <c r="G144" s="223"/>
      <c r="H144" s="207"/>
      <c r="I144" s="207"/>
      <c r="J144" s="223"/>
      <c r="K144" s="223"/>
      <c r="L144" s="223"/>
      <c r="M144" s="223"/>
      <c r="N144" s="223"/>
      <c r="O144" s="223"/>
      <c r="P144" s="223"/>
    </row>
    <row r="145" spans="1:16" ht="15">
      <c r="A145" s="234"/>
      <c r="B145" s="235"/>
      <c r="C145" s="234"/>
      <c r="D145" s="222"/>
      <c r="E145" s="223"/>
      <c r="F145" s="223"/>
      <c r="G145" s="223"/>
      <c r="H145" s="207"/>
      <c r="I145" s="207"/>
      <c r="J145" s="223"/>
      <c r="K145" s="223"/>
      <c r="L145" s="223"/>
      <c r="M145" s="223"/>
      <c r="N145" s="223"/>
      <c r="O145" s="223"/>
      <c r="P145" s="223"/>
    </row>
    <row r="146" spans="1:16" ht="15">
      <c r="A146" s="234"/>
      <c r="B146" s="235"/>
      <c r="C146" s="234"/>
      <c r="D146" s="222"/>
      <c r="E146" s="223"/>
      <c r="F146" s="223"/>
      <c r="G146" s="223"/>
      <c r="H146" s="207"/>
      <c r="I146" s="207"/>
      <c r="J146" s="223"/>
      <c r="K146" s="223"/>
      <c r="L146" s="223"/>
      <c r="M146" s="223"/>
      <c r="N146" s="223"/>
      <c r="O146" s="223"/>
      <c r="P146" s="223"/>
    </row>
    <row r="147" spans="1:16" ht="15">
      <c r="A147" s="234"/>
      <c r="B147" s="235"/>
      <c r="C147" s="234"/>
      <c r="D147" s="222"/>
      <c r="E147" s="223"/>
      <c r="F147" s="223"/>
      <c r="G147" s="223"/>
      <c r="H147" s="207"/>
      <c r="I147" s="207"/>
      <c r="J147" s="223"/>
      <c r="K147" s="223"/>
      <c r="L147" s="223"/>
      <c r="M147" s="223"/>
      <c r="N147" s="223"/>
      <c r="O147" s="223"/>
      <c r="P147" s="223"/>
    </row>
    <row r="148" spans="1:16" ht="15">
      <c r="A148" s="234"/>
      <c r="B148" s="235"/>
      <c r="C148" s="234"/>
      <c r="D148" s="222"/>
      <c r="E148" s="223"/>
      <c r="F148" s="223"/>
      <c r="G148" s="223"/>
      <c r="H148" s="207"/>
      <c r="I148" s="207"/>
      <c r="J148" s="223"/>
      <c r="K148" s="223"/>
      <c r="L148" s="223"/>
      <c r="M148" s="223"/>
      <c r="N148" s="223"/>
      <c r="O148" s="223"/>
      <c r="P148" s="223"/>
    </row>
    <row r="149" spans="1:16" ht="15">
      <c r="A149" s="234"/>
      <c r="B149" s="235"/>
      <c r="C149" s="234"/>
      <c r="D149" s="222"/>
      <c r="E149" s="223"/>
      <c r="F149" s="223"/>
      <c r="G149" s="223"/>
      <c r="H149" s="207"/>
      <c r="I149" s="207"/>
      <c r="J149" s="223"/>
      <c r="K149" s="223"/>
      <c r="L149" s="223"/>
      <c r="M149" s="223"/>
      <c r="N149" s="223"/>
      <c r="O149" s="223"/>
      <c r="P149" s="223"/>
    </row>
    <row r="150" spans="1:16" ht="15">
      <c r="A150" s="234"/>
      <c r="B150" s="235"/>
      <c r="C150" s="234"/>
      <c r="D150" s="222"/>
      <c r="E150" s="223"/>
      <c r="F150" s="223"/>
      <c r="G150" s="223"/>
      <c r="H150" s="207"/>
      <c r="I150" s="207"/>
      <c r="J150" s="223"/>
      <c r="K150" s="223"/>
      <c r="L150" s="223"/>
      <c r="M150" s="223"/>
      <c r="N150" s="223"/>
      <c r="O150" s="223"/>
      <c r="P150" s="223"/>
    </row>
    <row r="151" spans="1:16" ht="15">
      <c r="A151" s="234"/>
      <c r="B151" s="235"/>
      <c r="C151" s="234"/>
      <c r="D151" s="222"/>
      <c r="E151" s="223"/>
      <c r="F151" s="223"/>
      <c r="G151" s="223"/>
      <c r="H151" s="207"/>
      <c r="I151" s="207"/>
      <c r="J151" s="223"/>
      <c r="K151" s="223"/>
      <c r="L151" s="223"/>
      <c r="M151" s="223"/>
      <c r="N151" s="223"/>
      <c r="O151" s="223"/>
      <c r="P151" s="223"/>
    </row>
    <row r="152" spans="1:16" ht="15">
      <c r="A152" s="234"/>
      <c r="B152" s="235"/>
      <c r="C152" s="234"/>
      <c r="D152" s="222"/>
      <c r="E152" s="223"/>
      <c r="F152" s="223"/>
      <c r="G152" s="223"/>
      <c r="H152" s="207"/>
      <c r="I152" s="207"/>
      <c r="J152" s="223"/>
      <c r="K152" s="223"/>
      <c r="L152" s="223"/>
      <c r="M152" s="223"/>
      <c r="N152" s="223"/>
      <c r="O152" s="223"/>
      <c r="P152" s="223"/>
    </row>
    <row r="153" spans="1:16" ht="15">
      <c r="A153" s="234"/>
      <c r="B153" s="235"/>
      <c r="C153" s="234"/>
      <c r="D153" s="222"/>
      <c r="E153" s="223"/>
      <c r="F153" s="223"/>
      <c r="G153" s="223"/>
      <c r="H153" s="207"/>
      <c r="I153" s="207"/>
      <c r="J153" s="223"/>
      <c r="K153" s="223"/>
      <c r="L153" s="223"/>
      <c r="M153" s="223"/>
      <c r="N153" s="223"/>
      <c r="O153" s="223"/>
      <c r="P153" s="223"/>
    </row>
    <row r="154" spans="1:16" ht="15">
      <c r="A154" s="234"/>
      <c r="B154" s="235"/>
      <c r="C154" s="234"/>
      <c r="D154" s="222"/>
      <c r="E154" s="223"/>
      <c r="F154" s="223"/>
      <c r="G154" s="223"/>
      <c r="H154" s="207"/>
      <c r="I154" s="207"/>
      <c r="J154" s="223"/>
      <c r="K154" s="223"/>
      <c r="L154" s="223"/>
      <c r="M154" s="223"/>
      <c r="N154" s="223"/>
      <c r="O154" s="223"/>
      <c r="P154" s="223"/>
    </row>
    <row r="155" spans="1:16" ht="15">
      <c r="A155" s="234"/>
      <c r="B155" s="235"/>
      <c r="C155" s="234"/>
      <c r="D155" s="222"/>
      <c r="E155" s="223"/>
      <c r="F155" s="223"/>
      <c r="G155" s="223"/>
      <c r="H155" s="207"/>
      <c r="I155" s="207"/>
      <c r="J155" s="223"/>
      <c r="K155" s="223"/>
      <c r="L155" s="223"/>
      <c r="M155" s="223"/>
      <c r="N155" s="223"/>
      <c r="O155" s="223"/>
      <c r="P155" s="223"/>
    </row>
    <row r="156" spans="1:16" ht="15">
      <c r="A156" s="234"/>
      <c r="B156" s="235"/>
      <c r="C156" s="234"/>
      <c r="D156" s="222"/>
      <c r="E156" s="223"/>
      <c r="F156" s="223"/>
      <c r="G156" s="223"/>
      <c r="H156" s="207"/>
      <c r="I156" s="207"/>
      <c r="J156" s="223"/>
      <c r="K156" s="223"/>
      <c r="L156" s="223"/>
      <c r="M156" s="223"/>
      <c r="N156" s="223"/>
      <c r="O156" s="223"/>
      <c r="P156" s="223"/>
    </row>
    <row r="157" spans="1:16" ht="15">
      <c r="A157" s="234"/>
      <c r="B157" s="235"/>
      <c r="C157" s="234"/>
      <c r="D157" s="222"/>
      <c r="E157" s="223"/>
      <c r="F157" s="223"/>
      <c r="G157" s="223"/>
      <c r="H157" s="207"/>
      <c r="I157" s="207"/>
      <c r="J157" s="223"/>
      <c r="K157" s="223"/>
      <c r="L157" s="223"/>
      <c r="M157" s="223"/>
      <c r="N157" s="223"/>
      <c r="O157" s="223"/>
      <c r="P157" s="223"/>
    </row>
    <row r="158" spans="1:16" ht="15">
      <c r="A158" s="234"/>
      <c r="B158" s="235"/>
      <c r="C158" s="234"/>
      <c r="D158" s="222"/>
      <c r="E158" s="223"/>
      <c r="F158" s="223"/>
      <c r="G158" s="223"/>
      <c r="H158" s="207"/>
      <c r="I158" s="207"/>
      <c r="J158" s="223"/>
      <c r="K158" s="223"/>
      <c r="L158" s="223"/>
      <c r="M158" s="223"/>
      <c r="N158" s="223"/>
      <c r="O158" s="223"/>
      <c r="P158" s="223"/>
    </row>
    <row r="159" spans="1:16" ht="15">
      <c r="A159" s="234"/>
      <c r="B159" s="235"/>
      <c r="C159" s="234"/>
      <c r="D159" s="222"/>
      <c r="E159" s="223"/>
      <c r="F159" s="223"/>
      <c r="G159" s="223"/>
      <c r="H159" s="207"/>
      <c r="I159" s="207"/>
      <c r="J159" s="223"/>
      <c r="K159" s="223"/>
      <c r="L159" s="223"/>
      <c r="M159" s="223"/>
      <c r="N159" s="223"/>
      <c r="O159" s="223"/>
      <c r="P159" s="223"/>
    </row>
    <row r="160" spans="1:16" ht="15">
      <c r="A160" s="234"/>
      <c r="B160" s="235"/>
      <c r="C160" s="234"/>
      <c r="D160" s="222"/>
      <c r="E160" s="223"/>
      <c r="F160" s="223"/>
      <c r="G160" s="223"/>
      <c r="H160" s="207"/>
      <c r="I160" s="207"/>
      <c r="J160" s="223"/>
      <c r="K160" s="223"/>
      <c r="L160" s="223"/>
      <c r="M160" s="223"/>
      <c r="N160" s="223"/>
      <c r="O160" s="223"/>
      <c r="P160" s="223"/>
    </row>
    <row r="161" spans="1:16" ht="15">
      <c r="A161" s="234"/>
      <c r="B161" s="235"/>
      <c r="C161" s="234"/>
      <c r="D161" s="222"/>
      <c r="E161" s="223"/>
      <c r="F161" s="223"/>
      <c r="G161" s="223"/>
      <c r="H161" s="207"/>
      <c r="I161" s="207"/>
      <c r="J161" s="223"/>
      <c r="K161" s="223"/>
      <c r="L161" s="223"/>
      <c r="M161" s="223"/>
      <c r="N161" s="223"/>
      <c r="O161" s="223"/>
      <c r="P161" s="223"/>
    </row>
    <row r="162" spans="1:16" ht="15">
      <c r="A162" s="234"/>
      <c r="B162" s="235"/>
      <c r="C162" s="234"/>
      <c r="D162" s="222"/>
      <c r="E162" s="223"/>
      <c r="F162" s="223"/>
      <c r="G162" s="223"/>
      <c r="H162" s="207"/>
      <c r="I162" s="207"/>
      <c r="J162" s="223"/>
      <c r="K162" s="223"/>
      <c r="L162" s="223"/>
      <c r="M162" s="223"/>
      <c r="N162" s="223"/>
      <c r="O162" s="223"/>
      <c r="P162" s="223"/>
    </row>
    <row r="163" spans="1:16" ht="15">
      <c r="A163" s="234"/>
      <c r="B163" s="235"/>
      <c r="C163" s="234"/>
      <c r="D163" s="222"/>
      <c r="E163" s="223"/>
      <c r="F163" s="223"/>
      <c r="G163" s="223"/>
      <c r="H163" s="207"/>
      <c r="I163" s="207"/>
      <c r="J163" s="223"/>
      <c r="K163" s="223"/>
      <c r="L163" s="223"/>
      <c r="M163" s="223"/>
      <c r="N163" s="223"/>
      <c r="O163" s="223"/>
      <c r="P163" s="223"/>
    </row>
    <row r="164" spans="1:16" ht="15">
      <c r="A164" s="234"/>
      <c r="B164" s="235"/>
      <c r="C164" s="234"/>
      <c r="D164" s="222"/>
      <c r="E164" s="223"/>
      <c r="F164" s="223"/>
      <c r="G164" s="223"/>
      <c r="H164" s="207"/>
      <c r="I164" s="207"/>
      <c r="J164" s="223"/>
      <c r="K164" s="223"/>
      <c r="L164" s="223"/>
      <c r="M164" s="223"/>
      <c r="N164" s="223"/>
      <c r="O164" s="223"/>
      <c r="P164" s="223"/>
    </row>
    <row r="165" spans="1:16" ht="15">
      <c r="A165" s="234"/>
      <c r="B165" s="235"/>
      <c r="C165" s="234"/>
      <c r="D165" s="222"/>
      <c r="E165" s="223"/>
      <c r="F165" s="223"/>
      <c r="G165" s="223"/>
      <c r="H165" s="207"/>
      <c r="I165" s="207"/>
      <c r="J165" s="223"/>
      <c r="K165" s="223"/>
      <c r="L165" s="223"/>
      <c r="M165" s="223"/>
      <c r="N165" s="223"/>
      <c r="O165" s="223"/>
      <c r="P165" s="223"/>
    </row>
    <row r="166" spans="1:16" ht="15">
      <c r="A166" s="234"/>
      <c r="B166" s="235"/>
      <c r="C166" s="234"/>
      <c r="D166" s="222"/>
      <c r="E166" s="223"/>
      <c r="F166" s="223"/>
      <c r="G166" s="223"/>
      <c r="H166" s="207"/>
      <c r="I166" s="207"/>
      <c r="J166" s="223"/>
      <c r="K166" s="223"/>
      <c r="L166" s="223"/>
      <c r="M166" s="223"/>
      <c r="N166" s="223"/>
      <c r="O166" s="223"/>
      <c r="P166" s="223"/>
    </row>
    <row r="167" spans="1:16" ht="15">
      <c r="A167" s="234"/>
      <c r="B167" s="235"/>
      <c r="C167" s="234"/>
      <c r="D167" s="222"/>
      <c r="E167" s="223"/>
      <c r="F167" s="223"/>
      <c r="G167" s="223"/>
      <c r="H167" s="207"/>
      <c r="I167" s="207"/>
      <c r="J167" s="223"/>
      <c r="K167" s="223"/>
      <c r="L167" s="223"/>
      <c r="M167" s="223"/>
      <c r="N167" s="223"/>
      <c r="O167" s="223"/>
      <c r="P167" s="223"/>
    </row>
    <row r="168" spans="1:16" ht="15">
      <c r="A168" s="234"/>
      <c r="B168" s="235"/>
      <c r="C168" s="234"/>
      <c r="D168" s="222"/>
      <c r="E168" s="223"/>
      <c r="F168" s="223"/>
      <c r="G168" s="223"/>
      <c r="H168" s="207"/>
      <c r="I168" s="207"/>
      <c r="J168" s="223"/>
      <c r="K168" s="223"/>
      <c r="L168" s="223"/>
      <c r="M168" s="223"/>
      <c r="N168" s="223"/>
      <c r="O168" s="223"/>
      <c r="P168" s="223"/>
    </row>
    <row r="169" spans="1:16" ht="15">
      <c r="A169" s="234"/>
      <c r="B169" s="235"/>
      <c r="C169" s="234"/>
      <c r="D169" s="222"/>
      <c r="E169" s="223"/>
      <c r="F169" s="223"/>
      <c r="G169" s="223"/>
      <c r="H169" s="207"/>
      <c r="I169" s="207"/>
      <c r="J169" s="223"/>
      <c r="K169" s="223"/>
      <c r="L169" s="223"/>
      <c r="M169" s="223"/>
      <c r="N169" s="223"/>
      <c r="O169" s="223"/>
      <c r="P169" s="223"/>
    </row>
    <row r="170" spans="1:16" ht="15">
      <c r="A170" s="234"/>
      <c r="B170" s="235"/>
      <c r="C170" s="234"/>
      <c r="D170" s="222"/>
      <c r="E170" s="223"/>
      <c r="F170" s="223"/>
      <c r="G170" s="223"/>
      <c r="H170" s="207"/>
      <c r="I170" s="207"/>
      <c r="J170" s="223"/>
      <c r="K170" s="223"/>
      <c r="L170" s="223"/>
      <c r="M170" s="223"/>
      <c r="N170" s="223"/>
      <c r="O170" s="223"/>
      <c r="P170" s="223"/>
    </row>
    <row r="171" spans="1:16" ht="15">
      <c r="A171" s="234"/>
      <c r="B171" s="235"/>
      <c r="C171" s="234"/>
      <c r="D171" s="222"/>
      <c r="E171" s="223"/>
      <c r="F171" s="223"/>
      <c r="G171" s="223"/>
      <c r="H171" s="207"/>
      <c r="I171" s="207"/>
      <c r="J171" s="223"/>
      <c r="K171" s="223"/>
      <c r="L171" s="223"/>
      <c r="M171" s="223"/>
      <c r="N171" s="223"/>
      <c r="O171" s="223"/>
      <c r="P171" s="223"/>
    </row>
    <row r="172" spans="1:16" ht="15">
      <c r="A172" s="234"/>
      <c r="B172" s="235"/>
      <c r="C172" s="234"/>
      <c r="D172" s="222"/>
      <c r="E172" s="223"/>
      <c r="F172" s="223"/>
      <c r="G172" s="223"/>
      <c r="H172" s="207"/>
      <c r="I172" s="207"/>
      <c r="J172" s="223"/>
      <c r="K172" s="223"/>
      <c r="L172" s="223"/>
      <c r="M172" s="223"/>
      <c r="N172" s="223"/>
      <c r="O172" s="223"/>
      <c r="P172" s="223"/>
    </row>
    <row r="173" spans="1:16" ht="15">
      <c r="A173" s="234"/>
      <c r="B173" s="235"/>
      <c r="C173" s="234"/>
      <c r="D173" s="222"/>
      <c r="E173" s="223"/>
      <c r="F173" s="223"/>
      <c r="G173" s="223"/>
      <c r="H173" s="207"/>
      <c r="I173" s="207"/>
      <c r="J173" s="223"/>
      <c r="K173" s="223"/>
      <c r="L173" s="223"/>
      <c r="M173" s="223"/>
      <c r="N173" s="223"/>
      <c r="O173" s="223"/>
      <c r="P173" s="223"/>
    </row>
    <row r="174" spans="1:16" ht="15">
      <c r="A174" s="234"/>
      <c r="B174" s="235"/>
      <c r="C174" s="234"/>
      <c r="D174" s="222"/>
      <c r="E174" s="223"/>
      <c r="F174" s="223"/>
      <c r="G174" s="223"/>
      <c r="H174" s="207"/>
      <c r="I174" s="207"/>
      <c r="J174" s="223"/>
      <c r="K174" s="223"/>
      <c r="L174" s="223"/>
      <c r="M174" s="223"/>
      <c r="N174" s="223"/>
      <c r="O174" s="223"/>
      <c r="P174" s="223"/>
    </row>
    <row r="175" spans="1:16" ht="15">
      <c r="A175" s="234"/>
      <c r="B175" s="235"/>
      <c r="C175" s="234"/>
      <c r="D175" s="222"/>
      <c r="E175" s="223"/>
      <c r="F175" s="223"/>
      <c r="G175" s="223"/>
      <c r="H175" s="207"/>
      <c r="I175" s="207"/>
      <c r="J175" s="223"/>
      <c r="K175" s="223"/>
      <c r="L175" s="223"/>
      <c r="M175" s="223"/>
      <c r="N175" s="223"/>
      <c r="O175" s="223"/>
      <c r="P175" s="223"/>
    </row>
    <row r="176" spans="1:16" ht="15">
      <c r="A176" s="234"/>
      <c r="B176" s="235"/>
      <c r="C176" s="234"/>
      <c r="D176" s="222"/>
      <c r="E176" s="223"/>
      <c r="F176" s="223"/>
      <c r="G176" s="223"/>
      <c r="H176" s="207"/>
      <c r="I176" s="207"/>
      <c r="J176" s="223"/>
      <c r="K176" s="223"/>
      <c r="L176" s="223"/>
      <c r="M176" s="223"/>
      <c r="N176" s="223"/>
      <c r="O176" s="223"/>
      <c r="P176" s="223"/>
    </row>
    <row r="177" spans="1:16" ht="15">
      <c r="A177" s="234"/>
      <c r="B177" s="235"/>
      <c r="C177" s="234"/>
      <c r="D177" s="222"/>
      <c r="E177" s="223"/>
      <c r="F177" s="223"/>
      <c r="G177" s="223"/>
      <c r="H177" s="207"/>
      <c r="I177" s="207"/>
      <c r="J177" s="223"/>
      <c r="K177" s="223"/>
      <c r="L177" s="223"/>
      <c r="M177" s="223"/>
      <c r="N177" s="223"/>
      <c r="O177" s="223"/>
      <c r="P177" s="223"/>
    </row>
    <row r="178" spans="1:16" ht="15">
      <c r="A178" s="234"/>
      <c r="B178" s="235"/>
      <c r="C178" s="234"/>
      <c r="D178" s="222"/>
      <c r="E178" s="223"/>
      <c r="F178" s="223"/>
      <c r="G178" s="223"/>
      <c r="H178" s="207"/>
      <c r="I178" s="207"/>
      <c r="J178" s="223"/>
      <c r="K178" s="223"/>
      <c r="L178" s="223"/>
      <c r="M178" s="223"/>
      <c r="N178" s="223"/>
      <c r="O178" s="223"/>
      <c r="P178" s="223"/>
    </row>
    <row r="179" spans="1:16" ht="15">
      <c r="A179" s="234"/>
      <c r="B179" s="235"/>
      <c r="C179" s="234"/>
      <c r="D179" s="222"/>
      <c r="E179" s="223"/>
      <c r="F179" s="223"/>
      <c r="G179" s="223"/>
      <c r="H179" s="207"/>
      <c r="I179" s="207"/>
      <c r="J179" s="223"/>
      <c r="K179" s="223"/>
      <c r="L179" s="223"/>
      <c r="M179" s="223"/>
      <c r="N179" s="223"/>
      <c r="O179" s="223"/>
      <c r="P179" s="223"/>
    </row>
    <row r="180" spans="1:16" ht="15">
      <c r="A180" s="234"/>
      <c r="B180" s="235"/>
      <c r="C180" s="234"/>
      <c r="D180" s="222"/>
      <c r="E180" s="223"/>
      <c r="F180" s="223"/>
      <c r="G180" s="223"/>
      <c r="H180" s="207"/>
      <c r="I180" s="207"/>
      <c r="J180" s="223"/>
      <c r="K180" s="223"/>
      <c r="L180" s="223"/>
      <c r="M180" s="223"/>
      <c r="N180" s="223"/>
      <c r="O180" s="223"/>
      <c r="P180" s="223"/>
    </row>
    <row r="181" spans="1:16" ht="15">
      <c r="A181" s="234"/>
      <c r="B181" s="235"/>
      <c r="C181" s="234"/>
      <c r="D181" s="222"/>
      <c r="E181" s="223"/>
      <c r="F181" s="223"/>
      <c r="G181" s="223"/>
      <c r="H181" s="207"/>
      <c r="I181" s="207"/>
      <c r="J181" s="223"/>
      <c r="K181" s="223"/>
      <c r="L181" s="223"/>
      <c r="M181" s="223"/>
      <c r="N181" s="223"/>
      <c r="O181" s="223"/>
      <c r="P181" s="223"/>
    </row>
    <row r="182" spans="1:16" ht="15">
      <c r="A182" s="234"/>
      <c r="B182" s="235"/>
      <c r="C182" s="234"/>
      <c r="D182" s="222"/>
      <c r="E182" s="223"/>
      <c r="F182" s="223"/>
      <c r="G182" s="223"/>
      <c r="H182" s="207"/>
      <c r="I182" s="207"/>
      <c r="J182" s="223"/>
      <c r="K182" s="223"/>
      <c r="L182" s="223"/>
      <c r="M182" s="223"/>
      <c r="N182" s="223"/>
      <c r="O182" s="223"/>
      <c r="P182" s="223"/>
    </row>
    <row r="183" spans="1:16" ht="15">
      <c r="A183" s="234"/>
      <c r="B183" s="235"/>
      <c r="C183" s="234"/>
      <c r="D183" s="222"/>
      <c r="E183" s="223"/>
      <c r="F183" s="223"/>
      <c r="G183" s="223"/>
      <c r="H183" s="207"/>
      <c r="I183" s="207"/>
      <c r="J183" s="223"/>
      <c r="K183" s="223"/>
      <c r="L183" s="223"/>
      <c r="M183" s="223"/>
      <c r="N183" s="223"/>
      <c r="O183" s="223"/>
      <c r="P183" s="223"/>
    </row>
    <row r="184" spans="1:16" ht="15">
      <c r="A184" s="234"/>
      <c r="B184" s="235"/>
      <c r="C184" s="234"/>
      <c r="D184" s="222"/>
      <c r="E184" s="223"/>
      <c r="F184" s="223"/>
      <c r="G184" s="223"/>
      <c r="H184" s="207"/>
      <c r="I184" s="207"/>
      <c r="J184" s="223"/>
      <c r="K184" s="223"/>
      <c r="L184" s="223"/>
      <c r="M184" s="223"/>
      <c r="N184" s="223"/>
      <c r="O184" s="223"/>
      <c r="P184" s="223"/>
    </row>
    <row r="185" spans="1:16" ht="15">
      <c r="A185" s="234"/>
      <c r="B185" s="235"/>
      <c r="C185" s="234"/>
      <c r="D185" s="222"/>
      <c r="E185" s="223"/>
      <c r="F185" s="223"/>
      <c r="G185" s="223"/>
      <c r="H185" s="207"/>
      <c r="I185" s="207"/>
      <c r="J185" s="223"/>
      <c r="K185" s="223"/>
      <c r="L185" s="223"/>
      <c r="M185" s="223"/>
      <c r="N185" s="223"/>
      <c r="O185" s="223"/>
      <c r="P185" s="223"/>
    </row>
    <row r="186" spans="1:16" ht="15">
      <c r="A186" s="234"/>
      <c r="B186" s="235"/>
      <c r="C186" s="234"/>
      <c r="D186" s="222"/>
      <c r="E186" s="223"/>
      <c r="F186" s="223"/>
      <c r="G186" s="223"/>
      <c r="H186" s="207"/>
      <c r="I186" s="207"/>
      <c r="J186" s="223"/>
      <c r="K186" s="223"/>
      <c r="L186" s="223"/>
      <c r="M186" s="223"/>
      <c r="N186" s="223"/>
      <c r="O186" s="223"/>
      <c r="P186" s="223"/>
    </row>
    <row r="187" spans="1:16" ht="15">
      <c r="A187" s="234"/>
      <c r="B187" s="235"/>
      <c r="C187" s="234"/>
      <c r="D187" s="222"/>
      <c r="E187" s="223"/>
      <c r="F187" s="223"/>
      <c r="G187" s="223"/>
      <c r="H187" s="207"/>
      <c r="I187" s="207"/>
      <c r="J187" s="223"/>
      <c r="K187" s="223"/>
      <c r="L187" s="223"/>
      <c r="M187" s="223"/>
      <c r="N187" s="223"/>
      <c r="O187" s="223"/>
      <c r="P187" s="223"/>
    </row>
    <row r="188" spans="1:16" ht="15">
      <c r="A188" s="234"/>
      <c r="B188" s="235"/>
      <c r="C188" s="234"/>
      <c r="D188" s="222"/>
      <c r="E188" s="223"/>
      <c r="F188" s="223"/>
      <c r="G188" s="223"/>
      <c r="H188" s="207"/>
      <c r="I188" s="207"/>
      <c r="J188" s="223"/>
      <c r="K188" s="223"/>
      <c r="L188" s="223"/>
      <c r="M188" s="223"/>
      <c r="N188" s="223"/>
      <c r="O188" s="223"/>
      <c r="P188" s="223"/>
    </row>
    <row r="189" spans="1:16" ht="15">
      <c r="A189" s="234"/>
      <c r="B189" s="235"/>
      <c r="C189" s="234"/>
      <c r="D189" s="222"/>
      <c r="E189" s="223"/>
      <c r="F189" s="223"/>
      <c r="G189" s="223"/>
      <c r="H189" s="207"/>
      <c r="I189" s="207"/>
      <c r="J189" s="223"/>
      <c r="K189" s="223"/>
      <c r="L189" s="223"/>
      <c r="M189" s="223"/>
      <c r="N189" s="223"/>
      <c r="O189" s="223"/>
      <c r="P189" s="223"/>
    </row>
  </sheetData>
  <sheetProtection selectLockedCells="1" selectUnlockedCells="1"/>
  <mergeCells count="20">
    <mergeCell ref="A7:B7"/>
    <mergeCell ref="C59:G59"/>
    <mergeCell ref="K59:P59"/>
    <mergeCell ref="I61:J61"/>
    <mergeCell ref="F10:K10"/>
    <mergeCell ref="L10:P10"/>
    <mergeCell ref="C53:K53"/>
    <mergeCell ref="C54:K54"/>
    <mergeCell ref="D10:D11"/>
    <mergeCell ref="E10:E11"/>
    <mergeCell ref="A58:B58"/>
    <mergeCell ref="I58:J58"/>
    <mergeCell ref="A1:P1"/>
    <mergeCell ref="A2:P2"/>
    <mergeCell ref="M8:N8"/>
    <mergeCell ref="O8:P8"/>
    <mergeCell ref="G9:H9"/>
    <mergeCell ref="A10:A11"/>
    <mergeCell ref="B10:B11"/>
    <mergeCell ref="C10:C11"/>
  </mergeCells>
  <printOptions horizontalCentered="1"/>
  <pageMargins left="0" right="0" top="0.9055555555555556" bottom="0.5902777777777778" header="0.5118055555555555" footer="0.19652777777777777"/>
  <pageSetup firstPageNumber="1" useFirstPageNumber="1" horizontalDpi="300" verticalDpi="300" orientation="landscape" paperSize="9" scale="59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Q156"/>
  <sheetViews>
    <sheetView showZeros="0" view="pageBreakPreview" zoomScale="70" zoomScaleNormal="55" zoomScaleSheetLayoutView="70" zoomScalePageLayoutView="0" workbookViewId="0" topLeftCell="A1">
      <selection activeCell="A7" sqref="A7:IV7"/>
    </sheetView>
  </sheetViews>
  <sheetFormatPr defaultColWidth="37" defaultRowHeight="15.75"/>
  <cols>
    <col min="1" max="1" width="4.796875" style="190" customWidth="1"/>
    <col min="2" max="2" width="9.09765625" style="236" customWidth="1"/>
    <col min="3" max="3" width="29.59765625" style="207" customWidth="1"/>
    <col min="4" max="4" width="6.19921875" style="189" customWidth="1"/>
    <col min="5" max="5" width="8.19921875" style="190" customWidth="1"/>
    <col min="6" max="6" width="6" style="207" customWidth="1"/>
    <col min="7" max="7" width="7.3984375" style="207" customWidth="1"/>
    <col min="8" max="8" width="7.3984375" style="212" customWidth="1"/>
    <col min="9" max="9" width="9.09765625" style="212" customWidth="1"/>
    <col min="10" max="10" width="7.796875" style="207" customWidth="1"/>
    <col min="11" max="11" width="11" style="207" customWidth="1"/>
    <col min="12" max="12" width="9.8984375" style="207" customWidth="1"/>
    <col min="13" max="13" width="11.59765625" style="207" customWidth="1"/>
    <col min="14" max="14" width="12" style="207" customWidth="1"/>
    <col min="15" max="15" width="11.3984375" style="207" customWidth="1"/>
    <col min="16" max="16" width="10.09765625" style="207" customWidth="1"/>
    <col min="17" max="33" width="11.296875" style="207" customWidth="1"/>
    <col min="34" max="16384" width="37" style="207" customWidth="1"/>
  </cols>
  <sheetData>
    <row r="1" spans="1:16" s="187" customFormat="1" ht="19.5" customHeight="1">
      <c r="A1" s="425" t="s">
        <v>657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</row>
    <row r="2" spans="1:16" s="187" customFormat="1" ht="19.5" customHeight="1">
      <c r="A2" s="426" t="s">
        <v>658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</row>
    <row r="3" spans="1:16" s="187" customFormat="1" ht="19.5" customHeight="1">
      <c r="A3" s="53" t="str">
        <f>'1-3 (1)'!A3</f>
        <v>Būves nosaukums:     Tautas nama "Kalngravas" rekonstrukcija- 2. kārta </v>
      </c>
      <c r="B3" s="188"/>
      <c r="C3" s="189"/>
      <c r="D3" s="190"/>
      <c r="E3" s="190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6" s="187" customFormat="1" ht="19.5" customHeight="1">
      <c r="A4" s="53" t="str">
        <f>'1-3 (1)'!A4</f>
        <v>Objekta nosaukums:  Tautas nama "Kalngravas" rekonstrukcija</v>
      </c>
      <c r="B4" s="188"/>
      <c r="C4" s="189"/>
      <c r="D4" s="190"/>
      <c r="E4" s="190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</row>
    <row r="5" spans="1:16" s="187" customFormat="1" ht="19.5" customHeight="1">
      <c r="A5" s="53" t="str">
        <f>'1-3 (1)'!A5</f>
        <v>Būves adrese:  Kalngravas 1, Sarkaņu pagasts, Madonas novads</v>
      </c>
      <c r="B5" s="188"/>
      <c r="C5" s="189"/>
      <c r="D5" s="190"/>
      <c r="E5" s="190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</row>
    <row r="6" spans="1:16" s="187" customFormat="1" ht="19.5" customHeight="1">
      <c r="A6" s="53" t="str">
        <f>'1-3 (1)'!A6</f>
        <v>Pasūtījuma Nr.: </v>
      </c>
      <c r="B6" s="188"/>
      <c r="C6" s="192" t="s">
        <v>845</v>
      </c>
      <c r="D6" s="190"/>
      <c r="E6" s="190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</row>
    <row r="7" spans="1:8" s="4" customFormat="1" ht="25.5" customHeight="1">
      <c r="A7" s="391" t="s">
        <v>852</v>
      </c>
      <c r="B7" s="391"/>
      <c r="C7" s="386"/>
      <c r="D7" s="386"/>
      <c r="E7" s="386"/>
      <c r="F7" s="386"/>
      <c r="G7" s="386"/>
      <c r="H7" s="386"/>
    </row>
    <row r="8" spans="1:16" s="187" customFormat="1" ht="19.5" customHeight="1">
      <c r="A8" s="53" t="s">
        <v>659</v>
      </c>
      <c r="B8" s="188"/>
      <c r="C8" s="189"/>
      <c r="D8" s="190"/>
      <c r="E8" s="190"/>
      <c r="F8" s="191"/>
      <c r="G8" s="191"/>
      <c r="H8" s="191"/>
      <c r="I8" s="191"/>
      <c r="J8" s="191"/>
      <c r="K8" s="191"/>
      <c r="L8" s="191"/>
      <c r="M8" s="427" t="s">
        <v>47</v>
      </c>
      <c r="N8" s="427"/>
      <c r="O8" s="428">
        <f>P21</f>
        <v>0</v>
      </c>
      <c r="P8" s="428"/>
    </row>
    <row r="9" spans="1:16" ht="15" customHeight="1">
      <c r="A9" s="229"/>
      <c r="B9" s="229"/>
      <c r="C9" s="189"/>
      <c r="D9" s="190"/>
      <c r="E9" s="230"/>
      <c r="F9" s="191"/>
      <c r="G9" s="453"/>
      <c r="H9" s="453"/>
      <c r="I9" s="191"/>
      <c r="J9" s="191"/>
      <c r="K9" s="230"/>
      <c r="L9" s="300"/>
      <c r="M9" s="230"/>
      <c r="N9" s="191"/>
      <c r="O9" s="191"/>
      <c r="P9" s="191"/>
    </row>
    <row r="10" spans="1:16" s="187" customFormat="1" ht="19.5" customHeight="1">
      <c r="A10" s="429" t="s">
        <v>4</v>
      </c>
      <c r="B10" s="429" t="s">
        <v>48</v>
      </c>
      <c r="C10" s="430" t="s">
        <v>49</v>
      </c>
      <c r="D10" s="429" t="s">
        <v>50</v>
      </c>
      <c r="E10" s="429" t="s">
        <v>51</v>
      </c>
      <c r="F10" s="431" t="s">
        <v>52</v>
      </c>
      <c r="G10" s="431"/>
      <c r="H10" s="431"/>
      <c r="I10" s="431"/>
      <c r="J10" s="431"/>
      <c r="K10" s="431"/>
      <c r="L10" s="431" t="s">
        <v>53</v>
      </c>
      <c r="M10" s="431"/>
      <c r="N10" s="431"/>
      <c r="O10" s="431"/>
      <c r="P10" s="431"/>
    </row>
    <row r="11" spans="1:16" s="187" customFormat="1" ht="99.75" customHeight="1">
      <c r="A11" s="429"/>
      <c r="B11" s="429"/>
      <c r="C11" s="430"/>
      <c r="D11" s="429"/>
      <c r="E11" s="429"/>
      <c r="F11" s="26" t="s">
        <v>54</v>
      </c>
      <c r="G11" s="26" t="s">
        <v>55</v>
      </c>
      <c r="H11" s="26" t="s">
        <v>56</v>
      </c>
      <c r="I11" s="26" t="s">
        <v>57</v>
      </c>
      <c r="J11" s="26" t="s">
        <v>58</v>
      </c>
      <c r="K11" s="26" t="s">
        <v>59</v>
      </c>
      <c r="L11" s="26" t="s">
        <v>60</v>
      </c>
      <c r="M11" s="26" t="s">
        <v>56</v>
      </c>
      <c r="N11" s="26" t="s">
        <v>57</v>
      </c>
      <c r="O11" s="26" t="s">
        <v>58</v>
      </c>
      <c r="P11" s="26" t="s">
        <v>61</v>
      </c>
    </row>
    <row r="12" spans="1:16" s="52" customFormat="1" ht="35.25" customHeight="1">
      <c r="A12" s="61">
        <v>1</v>
      </c>
      <c r="B12" s="62"/>
      <c r="C12" s="250" t="s">
        <v>66</v>
      </c>
      <c r="D12" s="64"/>
      <c r="E12" s="318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1:16" s="52" customFormat="1" ht="35.25" customHeight="1">
      <c r="A13" s="61">
        <v>2</v>
      </c>
      <c r="B13" s="62" t="s">
        <v>67</v>
      </c>
      <c r="C13" s="63" t="s">
        <v>68</v>
      </c>
      <c r="D13" s="64" t="s">
        <v>64</v>
      </c>
      <c r="E13" s="318">
        <v>6</v>
      </c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1:16" s="52" customFormat="1" ht="35.25" customHeight="1">
      <c r="A14" s="61">
        <v>3</v>
      </c>
      <c r="B14" s="62" t="s">
        <v>69</v>
      </c>
      <c r="C14" s="63" t="s">
        <v>70</v>
      </c>
      <c r="D14" s="64" t="s">
        <v>65</v>
      </c>
      <c r="E14" s="318">
        <v>92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1:16" s="187" customFormat="1" ht="35.25" customHeight="1">
      <c r="A15" s="61">
        <v>4</v>
      </c>
      <c r="B15" s="26"/>
      <c r="C15" s="319" t="s">
        <v>660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35.25" customHeight="1">
      <c r="A16" s="61">
        <v>5</v>
      </c>
      <c r="B16" s="200" t="s">
        <v>661</v>
      </c>
      <c r="C16" s="320" t="s">
        <v>662</v>
      </c>
      <c r="D16" s="202" t="s">
        <v>483</v>
      </c>
      <c r="E16" s="204">
        <v>2</v>
      </c>
      <c r="F16" s="204"/>
      <c r="G16" s="205"/>
      <c r="H16" s="205"/>
      <c r="I16" s="205"/>
      <c r="J16" s="205"/>
      <c r="K16" s="205"/>
      <c r="L16" s="205"/>
      <c r="M16" s="205"/>
      <c r="N16" s="205"/>
      <c r="O16" s="205"/>
      <c r="P16" s="205"/>
    </row>
    <row r="17" spans="1:16" ht="35.25" customHeight="1">
      <c r="A17" s="61">
        <v>6</v>
      </c>
      <c r="B17" s="200" t="s">
        <v>663</v>
      </c>
      <c r="C17" s="320" t="s">
        <v>664</v>
      </c>
      <c r="D17" s="202" t="s">
        <v>483</v>
      </c>
      <c r="E17" s="204">
        <v>2</v>
      </c>
      <c r="F17" s="204"/>
      <c r="G17" s="205"/>
      <c r="H17" s="205"/>
      <c r="I17" s="205"/>
      <c r="J17" s="205"/>
      <c r="K17" s="205"/>
      <c r="L17" s="205"/>
      <c r="M17" s="205"/>
      <c r="N17" s="205"/>
      <c r="O17" s="205"/>
      <c r="P17" s="205"/>
    </row>
    <row r="18" spans="1:16" ht="35.25" customHeight="1">
      <c r="A18" s="61">
        <v>7</v>
      </c>
      <c r="B18" s="200" t="s">
        <v>665</v>
      </c>
      <c r="C18" s="320" t="s">
        <v>666</v>
      </c>
      <c r="D18" s="202" t="s">
        <v>447</v>
      </c>
      <c r="E18" s="204">
        <v>14</v>
      </c>
      <c r="F18" s="204"/>
      <c r="G18" s="205"/>
      <c r="H18" s="205"/>
      <c r="I18" s="205"/>
      <c r="J18" s="205"/>
      <c r="K18" s="205"/>
      <c r="L18" s="205"/>
      <c r="M18" s="205"/>
      <c r="N18" s="205"/>
      <c r="O18" s="205"/>
      <c r="P18" s="205"/>
    </row>
    <row r="19" spans="1:17" ht="30" customHeight="1">
      <c r="A19" s="209"/>
      <c r="B19" s="209"/>
      <c r="C19" s="28" t="s">
        <v>7</v>
      </c>
      <c r="D19" s="28"/>
      <c r="E19" s="28"/>
      <c r="F19" s="28"/>
      <c r="G19" s="28"/>
      <c r="H19" s="28"/>
      <c r="I19" s="28"/>
      <c r="J19" s="28"/>
      <c r="K19" s="28"/>
      <c r="L19" s="29"/>
      <c r="M19" s="29"/>
      <c r="N19" s="29"/>
      <c r="O19" s="29"/>
      <c r="P19" s="29"/>
      <c r="Q19" s="210"/>
    </row>
    <row r="20" spans="1:16" ht="30" customHeight="1">
      <c r="A20" s="211"/>
      <c r="B20" s="211"/>
      <c r="C20" s="418" t="s">
        <v>849</v>
      </c>
      <c r="D20" s="418"/>
      <c r="E20" s="418"/>
      <c r="F20" s="418"/>
      <c r="G20" s="418"/>
      <c r="H20" s="418"/>
      <c r="I20" s="418"/>
      <c r="J20" s="418"/>
      <c r="K20" s="418"/>
      <c r="L20" s="30"/>
      <c r="M20" s="30"/>
      <c r="N20" s="30"/>
      <c r="O20" s="30"/>
      <c r="P20" s="31"/>
    </row>
    <row r="21" spans="1:17" ht="30" customHeight="1">
      <c r="A21" s="211"/>
      <c r="B21" s="211"/>
      <c r="C21" s="433" t="s">
        <v>71</v>
      </c>
      <c r="D21" s="433"/>
      <c r="E21" s="433"/>
      <c r="F21" s="433"/>
      <c r="G21" s="433"/>
      <c r="H21" s="433"/>
      <c r="I21" s="433"/>
      <c r="J21" s="433"/>
      <c r="K21" s="433"/>
      <c r="L21" s="30"/>
      <c r="M21" s="30"/>
      <c r="N21" s="30"/>
      <c r="O21" s="30"/>
      <c r="P21" s="31"/>
      <c r="Q21" s="212"/>
    </row>
    <row r="22" spans="1:16" ht="15">
      <c r="A22" s="234"/>
      <c r="B22" s="235"/>
      <c r="C22" s="234"/>
      <c r="D22" s="222"/>
      <c r="E22" s="223"/>
      <c r="F22" s="223"/>
      <c r="G22" s="223"/>
      <c r="H22" s="207"/>
      <c r="I22" s="207"/>
      <c r="J22" s="223"/>
      <c r="K22" s="223"/>
      <c r="L22" s="223"/>
      <c r="M22" s="223"/>
      <c r="N22" s="223"/>
      <c r="O22" s="223"/>
      <c r="P22" s="223"/>
    </row>
    <row r="23" spans="1:16" ht="15">
      <c r="A23" s="234"/>
      <c r="B23" s="235"/>
      <c r="C23" s="234"/>
      <c r="D23" s="222"/>
      <c r="E23" s="223"/>
      <c r="F23" s="223"/>
      <c r="G23" s="223"/>
      <c r="H23" s="207"/>
      <c r="I23" s="207"/>
      <c r="J23" s="223"/>
      <c r="K23" s="223"/>
      <c r="L23" s="223"/>
      <c r="M23" s="223"/>
      <c r="N23" s="223"/>
      <c r="O23" s="223"/>
      <c r="P23" s="223"/>
    </row>
    <row r="24" spans="1:16" ht="15">
      <c r="A24" s="234"/>
      <c r="B24" s="235"/>
      <c r="C24" s="234"/>
      <c r="D24" s="222"/>
      <c r="E24" s="223"/>
      <c r="F24" s="223"/>
      <c r="G24" s="223"/>
      <c r="H24" s="207"/>
      <c r="I24" s="207"/>
      <c r="J24" s="223"/>
      <c r="K24" s="223"/>
      <c r="L24" s="223"/>
      <c r="M24" s="223"/>
      <c r="N24" s="223"/>
      <c r="O24" s="223"/>
      <c r="P24" s="223"/>
    </row>
    <row r="25" spans="1:16" ht="12.75" customHeight="1">
      <c r="A25" s="432" t="s">
        <v>9</v>
      </c>
      <c r="B25" s="432"/>
      <c r="C25" s="218"/>
      <c r="D25" s="207"/>
      <c r="E25" s="219">
        <f>'1-1 (1)'!E21</f>
        <v>0</v>
      </c>
      <c r="F25" s="220"/>
      <c r="G25" s="220"/>
      <c r="H25" s="221"/>
      <c r="I25" s="434" t="s">
        <v>72</v>
      </c>
      <c r="J25" s="434"/>
      <c r="K25" s="220"/>
      <c r="L25" s="220"/>
      <c r="M25" s="220"/>
      <c r="N25" s="219">
        <f>'1-1 (1)'!N21</f>
        <v>0</v>
      </c>
      <c r="O25" s="220"/>
      <c r="P25" s="220"/>
    </row>
    <row r="26" spans="1:16" ht="12.75" customHeight="1">
      <c r="A26" s="217"/>
      <c r="B26" s="217"/>
      <c r="C26" s="435" t="s">
        <v>10</v>
      </c>
      <c r="D26" s="435"/>
      <c r="E26" s="435"/>
      <c r="F26" s="435"/>
      <c r="G26" s="435"/>
      <c r="H26" s="207"/>
      <c r="I26" s="190"/>
      <c r="J26" s="190"/>
      <c r="K26" s="436" t="s">
        <v>10</v>
      </c>
      <c r="L26" s="436"/>
      <c r="M26" s="436"/>
      <c r="N26" s="436"/>
      <c r="O26" s="436"/>
      <c r="P26" s="436"/>
    </row>
    <row r="27" spans="1:16" ht="15">
      <c r="A27" s="217"/>
      <c r="B27" s="217"/>
      <c r="C27" s="217"/>
      <c r="D27" s="222"/>
      <c r="E27" s="223"/>
      <c r="F27" s="223"/>
      <c r="G27" s="223"/>
      <c r="H27" s="207"/>
      <c r="I27" s="207"/>
      <c r="J27" s="223"/>
      <c r="K27" s="223"/>
      <c r="L27" s="223"/>
      <c r="M27" s="223"/>
      <c r="N27" s="223"/>
      <c r="O27" s="223"/>
      <c r="P27" s="223"/>
    </row>
    <row r="28" spans="1:16" ht="12.75" customHeight="1">
      <c r="A28" s="87"/>
      <c r="B28" s="217"/>
      <c r="C28" s="87"/>
      <c r="D28" s="224"/>
      <c r="E28" s="223"/>
      <c r="F28" s="223"/>
      <c r="G28" s="223"/>
      <c r="H28" s="207"/>
      <c r="I28" s="432" t="s">
        <v>11</v>
      </c>
      <c r="J28" s="432"/>
      <c r="K28" s="218">
        <f>'1-1 (1)'!K24</f>
        <v>0</v>
      </c>
      <c r="L28" s="223"/>
      <c r="M28" s="223"/>
      <c r="N28" s="223"/>
      <c r="O28" s="223"/>
      <c r="P28" s="223"/>
    </row>
    <row r="29" spans="1:16" ht="15">
      <c r="A29" s="234"/>
      <c r="B29" s="235"/>
      <c r="C29" s="234"/>
      <c r="D29" s="222"/>
      <c r="E29" s="223"/>
      <c r="F29" s="223"/>
      <c r="G29" s="223"/>
      <c r="H29" s="207"/>
      <c r="I29" s="207"/>
      <c r="J29" s="223"/>
      <c r="K29" s="223"/>
      <c r="L29" s="223"/>
      <c r="M29" s="223"/>
      <c r="N29" s="223"/>
      <c r="O29" s="223"/>
      <c r="P29" s="223"/>
    </row>
    <row r="30" spans="1:16" ht="15">
      <c r="A30" s="234"/>
      <c r="B30" s="235"/>
      <c r="C30" s="234"/>
      <c r="D30" s="222"/>
      <c r="E30" s="223"/>
      <c r="F30" s="223"/>
      <c r="G30" s="223"/>
      <c r="H30" s="207"/>
      <c r="I30" s="207"/>
      <c r="J30" s="223"/>
      <c r="K30" s="223"/>
      <c r="L30" s="223"/>
      <c r="M30" s="223"/>
      <c r="N30" s="223"/>
      <c r="O30" s="223"/>
      <c r="P30" s="223"/>
    </row>
    <row r="31" spans="1:16" ht="15">
      <c r="A31" s="234"/>
      <c r="B31" s="235"/>
      <c r="C31" s="234"/>
      <c r="D31" s="222"/>
      <c r="E31" s="223"/>
      <c r="F31" s="223"/>
      <c r="G31" s="223"/>
      <c r="H31" s="207"/>
      <c r="I31" s="207"/>
      <c r="J31" s="223"/>
      <c r="K31" s="223"/>
      <c r="L31" s="223"/>
      <c r="M31" s="223"/>
      <c r="N31" s="223"/>
      <c r="O31" s="223"/>
      <c r="P31" s="223"/>
    </row>
    <row r="32" spans="1:16" ht="15">
      <c r="A32" s="234"/>
      <c r="B32" s="235"/>
      <c r="C32" s="234"/>
      <c r="D32" s="222"/>
      <c r="E32" s="223"/>
      <c r="F32" s="223"/>
      <c r="G32" s="223"/>
      <c r="H32" s="207"/>
      <c r="I32" s="207"/>
      <c r="J32" s="223"/>
      <c r="K32" s="223"/>
      <c r="L32" s="223"/>
      <c r="M32" s="223"/>
      <c r="N32" s="223"/>
      <c r="O32" s="223"/>
      <c r="P32" s="223"/>
    </row>
    <row r="33" spans="1:16" ht="15">
      <c r="A33" s="234"/>
      <c r="B33" s="235"/>
      <c r="C33" s="234"/>
      <c r="D33" s="222"/>
      <c r="E33" s="223"/>
      <c r="F33" s="223"/>
      <c r="G33" s="223"/>
      <c r="H33" s="207"/>
      <c r="I33" s="207"/>
      <c r="J33" s="223"/>
      <c r="K33" s="223"/>
      <c r="L33" s="223"/>
      <c r="M33" s="223"/>
      <c r="N33" s="223"/>
      <c r="O33" s="223"/>
      <c r="P33" s="223"/>
    </row>
    <row r="34" spans="1:16" ht="15">
      <c r="A34" s="234"/>
      <c r="B34" s="235"/>
      <c r="C34" s="234"/>
      <c r="D34" s="222"/>
      <c r="E34" s="223"/>
      <c r="F34" s="223"/>
      <c r="G34" s="223"/>
      <c r="H34" s="207"/>
      <c r="I34" s="207"/>
      <c r="J34" s="223"/>
      <c r="K34" s="223"/>
      <c r="L34" s="223"/>
      <c r="M34" s="223"/>
      <c r="N34" s="223"/>
      <c r="O34" s="223"/>
      <c r="P34" s="223"/>
    </row>
    <row r="35" spans="1:16" ht="15">
      <c r="A35" s="234"/>
      <c r="B35" s="235"/>
      <c r="C35" s="234"/>
      <c r="D35" s="222"/>
      <c r="E35" s="223"/>
      <c r="F35" s="223"/>
      <c r="G35" s="223"/>
      <c r="H35" s="207"/>
      <c r="I35" s="207"/>
      <c r="J35" s="223"/>
      <c r="K35" s="223"/>
      <c r="L35" s="223"/>
      <c r="M35" s="223"/>
      <c r="N35" s="223"/>
      <c r="O35" s="223"/>
      <c r="P35" s="223"/>
    </row>
    <row r="36" spans="1:16" ht="15">
      <c r="A36" s="234"/>
      <c r="B36" s="235"/>
      <c r="C36" s="234"/>
      <c r="D36" s="222"/>
      <c r="E36" s="223"/>
      <c r="F36" s="223"/>
      <c r="G36" s="223"/>
      <c r="H36" s="207"/>
      <c r="I36" s="207"/>
      <c r="J36" s="223"/>
      <c r="K36" s="223"/>
      <c r="L36" s="223"/>
      <c r="M36" s="223"/>
      <c r="N36" s="223"/>
      <c r="O36" s="223"/>
      <c r="P36" s="223"/>
    </row>
    <row r="37" spans="1:16" ht="15">
      <c r="A37" s="234"/>
      <c r="B37" s="235"/>
      <c r="C37" s="234"/>
      <c r="D37" s="222"/>
      <c r="E37" s="223"/>
      <c r="F37" s="223"/>
      <c r="G37" s="223"/>
      <c r="H37" s="207"/>
      <c r="I37" s="207"/>
      <c r="J37" s="223"/>
      <c r="K37" s="223"/>
      <c r="L37" s="223"/>
      <c r="M37" s="223"/>
      <c r="N37" s="223"/>
      <c r="O37" s="223"/>
      <c r="P37" s="223"/>
    </row>
    <row r="38" spans="1:16" ht="15">
      <c r="A38" s="234"/>
      <c r="B38" s="235"/>
      <c r="C38" s="234"/>
      <c r="D38" s="222"/>
      <c r="E38" s="223"/>
      <c r="F38" s="223"/>
      <c r="G38" s="223"/>
      <c r="H38" s="207"/>
      <c r="I38" s="207"/>
      <c r="J38" s="223"/>
      <c r="K38" s="223"/>
      <c r="L38" s="223"/>
      <c r="M38" s="223"/>
      <c r="N38" s="223"/>
      <c r="O38" s="223"/>
      <c r="P38" s="223"/>
    </row>
    <row r="39" spans="1:16" ht="15">
      <c r="A39" s="234"/>
      <c r="B39" s="235"/>
      <c r="C39" s="234"/>
      <c r="D39" s="222"/>
      <c r="E39" s="223"/>
      <c r="F39" s="223"/>
      <c r="G39" s="223"/>
      <c r="H39" s="207"/>
      <c r="I39" s="207"/>
      <c r="J39" s="223"/>
      <c r="K39" s="223"/>
      <c r="L39" s="223"/>
      <c r="M39" s="223"/>
      <c r="N39" s="223"/>
      <c r="O39" s="223"/>
      <c r="P39" s="223"/>
    </row>
    <row r="40" spans="1:16" ht="15">
      <c r="A40" s="234"/>
      <c r="B40" s="235"/>
      <c r="C40" s="234"/>
      <c r="D40" s="222"/>
      <c r="E40" s="223"/>
      <c r="F40" s="223"/>
      <c r="G40" s="223"/>
      <c r="H40" s="207"/>
      <c r="I40" s="207"/>
      <c r="J40" s="223"/>
      <c r="K40" s="223"/>
      <c r="L40" s="223"/>
      <c r="M40" s="223"/>
      <c r="N40" s="223"/>
      <c r="O40" s="223"/>
      <c r="P40" s="223"/>
    </row>
    <row r="41" spans="1:16" ht="15">
      <c r="A41" s="234"/>
      <c r="B41" s="235"/>
      <c r="C41" s="234"/>
      <c r="D41" s="222"/>
      <c r="E41" s="223"/>
      <c r="F41" s="223"/>
      <c r="G41" s="223"/>
      <c r="H41" s="207"/>
      <c r="I41" s="207"/>
      <c r="J41" s="223"/>
      <c r="K41" s="223"/>
      <c r="L41" s="223"/>
      <c r="M41" s="223"/>
      <c r="N41" s="223"/>
      <c r="O41" s="223"/>
      <c r="P41" s="223"/>
    </row>
    <row r="42" spans="1:16" ht="15">
      <c r="A42" s="234"/>
      <c r="B42" s="235"/>
      <c r="C42" s="234"/>
      <c r="D42" s="222"/>
      <c r="E42" s="223"/>
      <c r="F42" s="223"/>
      <c r="G42" s="223"/>
      <c r="H42" s="207"/>
      <c r="I42" s="207"/>
      <c r="J42" s="223"/>
      <c r="K42" s="223"/>
      <c r="L42" s="223"/>
      <c r="M42" s="223"/>
      <c r="N42" s="223"/>
      <c r="O42" s="223"/>
      <c r="P42" s="223"/>
    </row>
    <row r="43" spans="1:16" ht="15">
      <c r="A43" s="234"/>
      <c r="B43" s="235"/>
      <c r="C43" s="234"/>
      <c r="D43" s="222"/>
      <c r="E43" s="223"/>
      <c r="F43" s="223"/>
      <c r="G43" s="223"/>
      <c r="H43" s="207"/>
      <c r="I43" s="207"/>
      <c r="J43" s="223"/>
      <c r="K43" s="223"/>
      <c r="L43" s="223"/>
      <c r="M43" s="223"/>
      <c r="N43" s="223"/>
      <c r="O43" s="223"/>
      <c r="P43" s="223"/>
    </row>
    <row r="44" spans="1:16" ht="15">
      <c r="A44" s="234"/>
      <c r="B44" s="235"/>
      <c r="C44" s="234"/>
      <c r="D44" s="222"/>
      <c r="E44" s="223"/>
      <c r="F44" s="223"/>
      <c r="G44" s="223"/>
      <c r="H44" s="207"/>
      <c r="I44" s="207"/>
      <c r="J44" s="223"/>
      <c r="K44" s="223"/>
      <c r="L44" s="223"/>
      <c r="M44" s="223"/>
      <c r="N44" s="223"/>
      <c r="O44" s="223"/>
      <c r="P44" s="223"/>
    </row>
    <row r="45" spans="1:16" ht="15">
      <c r="A45" s="234"/>
      <c r="B45" s="235"/>
      <c r="C45" s="234"/>
      <c r="D45" s="222"/>
      <c r="E45" s="223"/>
      <c r="F45" s="223"/>
      <c r="G45" s="223"/>
      <c r="H45" s="207"/>
      <c r="I45" s="207"/>
      <c r="J45" s="223"/>
      <c r="K45" s="223"/>
      <c r="L45" s="223"/>
      <c r="M45" s="223"/>
      <c r="N45" s="223"/>
      <c r="O45" s="223"/>
      <c r="P45" s="223"/>
    </row>
    <row r="46" spans="1:16" ht="15">
      <c r="A46" s="234"/>
      <c r="B46" s="235"/>
      <c r="C46" s="234"/>
      <c r="D46" s="222"/>
      <c r="E46" s="223"/>
      <c r="F46" s="223"/>
      <c r="G46" s="223"/>
      <c r="H46" s="207"/>
      <c r="I46" s="207"/>
      <c r="J46" s="223"/>
      <c r="K46" s="223"/>
      <c r="L46" s="223"/>
      <c r="M46" s="223"/>
      <c r="N46" s="223"/>
      <c r="O46" s="223"/>
      <c r="P46" s="223"/>
    </row>
    <row r="47" spans="1:16" ht="15">
      <c r="A47" s="234"/>
      <c r="B47" s="235"/>
      <c r="C47" s="234"/>
      <c r="D47" s="222"/>
      <c r="E47" s="223"/>
      <c r="F47" s="223"/>
      <c r="G47" s="223"/>
      <c r="H47" s="207"/>
      <c r="I47" s="207"/>
      <c r="J47" s="223"/>
      <c r="K47" s="223"/>
      <c r="L47" s="223"/>
      <c r="M47" s="223"/>
      <c r="N47" s="223"/>
      <c r="O47" s="223"/>
      <c r="P47" s="223"/>
    </row>
    <row r="48" spans="1:16" ht="15">
      <c r="A48" s="234"/>
      <c r="B48" s="235"/>
      <c r="C48" s="234"/>
      <c r="D48" s="222"/>
      <c r="E48" s="223"/>
      <c r="F48" s="223"/>
      <c r="G48" s="223"/>
      <c r="H48" s="207"/>
      <c r="I48" s="207"/>
      <c r="J48" s="223"/>
      <c r="K48" s="223"/>
      <c r="L48" s="223"/>
      <c r="M48" s="223"/>
      <c r="N48" s="223"/>
      <c r="O48" s="223"/>
      <c r="P48" s="223"/>
    </row>
    <row r="49" spans="1:16" ht="15">
      <c r="A49" s="234"/>
      <c r="B49" s="235"/>
      <c r="C49" s="234"/>
      <c r="D49" s="222"/>
      <c r="E49" s="223"/>
      <c r="F49" s="223"/>
      <c r="G49" s="223"/>
      <c r="H49" s="207"/>
      <c r="I49" s="207"/>
      <c r="J49" s="223"/>
      <c r="K49" s="223"/>
      <c r="L49" s="223"/>
      <c r="M49" s="223"/>
      <c r="N49" s="223"/>
      <c r="O49" s="223"/>
      <c r="P49" s="223"/>
    </row>
    <row r="50" spans="1:16" ht="15">
      <c r="A50" s="234"/>
      <c r="B50" s="235"/>
      <c r="C50" s="234"/>
      <c r="D50" s="222"/>
      <c r="E50" s="223"/>
      <c r="F50" s="223"/>
      <c r="G50" s="223"/>
      <c r="H50" s="207"/>
      <c r="I50" s="207"/>
      <c r="J50" s="223"/>
      <c r="K50" s="223"/>
      <c r="L50" s="223"/>
      <c r="M50" s="223"/>
      <c r="N50" s="223"/>
      <c r="O50" s="223"/>
      <c r="P50" s="223"/>
    </row>
    <row r="51" spans="1:16" ht="15">
      <c r="A51" s="234"/>
      <c r="B51" s="235"/>
      <c r="C51" s="234"/>
      <c r="D51" s="222"/>
      <c r="E51" s="223"/>
      <c r="F51" s="223"/>
      <c r="G51" s="223"/>
      <c r="H51" s="207"/>
      <c r="I51" s="207"/>
      <c r="J51" s="223"/>
      <c r="K51" s="223"/>
      <c r="L51" s="223"/>
      <c r="M51" s="223"/>
      <c r="N51" s="223"/>
      <c r="O51" s="223"/>
      <c r="P51" s="223"/>
    </row>
    <row r="52" spans="1:16" ht="15">
      <c r="A52" s="234"/>
      <c r="B52" s="235"/>
      <c r="C52" s="234"/>
      <c r="D52" s="222"/>
      <c r="E52" s="223"/>
      <c r="F52" s="223"/>
      <c r="G52" s="223"/>
      <c r="H52" s="207"/>
      <c r="I52" s="207"/>
      <c r="J52" s="223"/>
      <c r="K52" s="223"/>
      <c r="L52" s="223"/>
      <c r="M52" s="223"/>
      <c r="N52" s="223"/>
      <c r="O52" s="223"/>
      <c r="P52" s="223"/>
    </row>
    <row r="53" spans="1:16" ht="15">
      <c r="A53" s="234"/>
      <c r="B53" s="235"/>
      <c r="C53" s="234"/>
      <c r="D53" s="222"/>
      <c r="E53" s="223"/>
      <c r="F53" s="223"/>
      <c r="G53" s="223"/>
      <c r="H53" s="207"/>
      <c r="I53" s="207"/>
      <c r="J53" s="223"/>
      <c r="K53" s="223"/>
      <c r="L53" s="223"/>
      <c r="M53" s="223"/>
      <c r="N53" s="223"/>
      <c r="O53" s="223"/>
      <c r="P53" s="223"/>
    </row>
    <row r="54" spans="1:16" ht="15">
      <c r="A54" s="234"/>
      <c r="B54" s="235"/>
      <c r="C54" s="234"/>
      <c r="D54" s="222"/>
      <c r="E54" s="223"/>
      <c r="F54" s="223"/>
      <c r="G54" s="223"/>
      <c r="H54" s="207"/>
      <c r="I54" s="207"/>
      <c r="J54" s="223"/>
      <c r="K54" s="223"/>
      <c r="L54" s="223"/>
      <c r="M54" s="223"/>
      <c r="N54" s="223"/>
      <c r="O54" s="223"/>
      <c r="P54" s="223"/>
    </row>
    <row r="55" spans="1:16" ht="15">
      <c r="A55" s="234"/>
      <c r="B55" s="235"/>
      <c r="C55" s="234"/>
      <c r="D55" s="222"/>
      <c r="E55" s="223"/>
      <c r="F55" s="223"/>
      <c r="G55" s="223"/>
      <c r="H55" s="207"/>
      <c r="I55" s="207"/>
      <c r="J55" s="223"/>
      <c r="K55" s="223"/>
      <c r="L55" s="223"/>
      <c r="M55" s="223"/>
      <c r="N55" s="223"/>
      <c r="O55" s="223"/>
      <c r="P55" s="223"/>
    </row>
    <row r="56" spans="1:16" ht="15">
      <c r="A56" s="234"/>
      <c r="B56" s="235"/>
      <c r="C56" s="234"/>
      <c r="D56" s="222"/>
      <c r="E56" s="223"/>
      <c r="F56" s="223"/>
      <c r="G56" s="223"/>
      <c r="H56" s="207"/>
      <c r="I56" s="207"/>
      <c r="J56" s="223"/>
      <c r="K56" s="223"/>
      <c r="L56" s="223"/>
      <c r="M56" s="223"/>
      <c r="N56" s="223"/>
      <c r="O56" s="223"/>
      <c r="P56" s="223"/>
    </row>
    <row r="57" spans="1:16" ht="15">
      <c r="A57" s="234"/>
      <c r="B57" s="235"/>
      <c r="C57" s="234"/>
      <c r="D57" s="222"/>
      <c r="E57" s="223"/>
      <c r="F57" s="223"/>
      <c r="G57" s="223"/>
      <c r="H57" s="207"/>
      <c r="I57" s="207"/>
      <c r="J57" s="223"/>
      <c r="K57" s="223"/>
      <c r="L57" s="223"/>
      <c r="M57" s="223"/>
      <c r="N57" s="223"/>
      <c r="O57" s="223"/>
      <c r="P57" s="223"/>
    </row>
    <row r="58" spans="1:16" ht="15">
      <c r="A58" s="234"/>
      <c r="B58" s="235"/>
      <c r="C58" s="234"/>
      <c r="D58" s="222"/>
      <c r="E58" s="223"/>
      <c r="F58" s="223"/>
      <c r="G58" s="223"/>
      <c r="H58" s="207"/>
      <c r="I58" s="207"/>
      <c r="J58" s="223"/>
      <c r="K58" s="223"/>
      <c r="L58" s="223"/>
      <c r="M58" s="223"/>
      <c r="N58" s="223"/>
      <c r="O58" s="223"/>
      <c r="P58" s="223"/>
    </row>
    <row r="59" spans="1:16" ht="15">
      <c r="A59" s="234"/>
      <c r="B59" s="235"/>
      <c r="C59" s="234"/>
      <c r="D59" s="222"/>
      <c r="E59" s="223"/>
      <c r="F59" s="223"/>
      <c r="G59" s="223"/>
      <c r="H59" s="207"/>
      <c r="I59" s="207"/>
      <c r="J59" s="223"/>
      <c r="K59" s="223"/>
      <c r="L59" s="223"/>
      <c r="M59" s="223"/>
      <c r="N59" s="223"/>
      <c r="O59" s="223"/>
      <c r="P59" s="223"/>
    </row>
    <row r="60" spans="1:16" ht="15">
      <c r="A60" s="234"/>
      <c r="B60" s="235"/>
      <c r="C60" s="234"/>
      <c r="D60" s="222"/>
      <c r="E60" s="223"/>
      <c r="F60" s="223"/>
      <c r="G60" s="223"/>
      <c r="H60" s="207"/>
      <c r="I60" s="207"/>
      <c r="J60" s="223"/>
      <c r="K60" s="223"/>
      <c r="L60" s="223"/>
      <c r="M60" s="223"/>
      <c r="N60" s="223"/>
      <c r="O60" s="223"/>
      <c r="P60" s="223"/>
    </row>
    <row r="61" spans="1:16" ht="15">
      <c r="A61" s="234"/>
      <c r="B61" s="235"/>
      <c r="C61" s="234"/>
      <c r="D61" s="222"/>
      <c r="E61" s="223"/>
      <c r="F61" s="223"/>
      <c r="G61" s="223"/>
      <c r="H61" s="207"/>
      <c r="I61" s="207"/>
      <c r="J61" s="223"/>
      <c r="K61" s="223"/>
      <c r="L61" s="223"/>
      <c r="M61" s="223"/>
      <c r="N61" s="223"/>
      <c r="O61" s="223"/>
      <c r="P61" s="223"/>
    </row>
    <row r="62" spans="1:16" ht="15">
      <c r="A62" s="234"/>
      <c r="B62" s="235"/>
      <c r="C62" s="234"/>
      <c r="D62" s="222"/>
      <c r="E62" s="223"/>
      <c r="F62" s="223"/>
      <c r="G62" s="223"/>
      <c r="H62" s="207"/>
      <c r="I62" s="207"/>
      <c r="J62" s="223"/>
      <c r="K62" s="223"/>
      <c r="L62" s="223"/>
      <c r="M62" s="223"/>
      <c r="N62" s="223"/>
      <c r="O62" s="223"/>
      <c r="P62" s="223"/>
    </row>
    <row r="63" spans="1:16" ht="15">
      <c r="A63" s="234"/>
      <c r="B63" s="235"/>
      <c r="C63" s="234"/>
      <c r="D63" s="222"/>
      <c r="E63" s="223"/>
      <c r="F63" s="223"/>
      <c r="G63" s="223"/>
      <c r="H63" s="207"/>
      <c r="I63" s="207"/>
      <c r="J63" s="223"/>
      <c r="K63" s="223"/>
      <c r="L63" s="223"/>
      <c r="M63" s="223"/>
      <c r="N63" s="223"/>
      <c r="O63" s="223"/>
      <c r="P63" s="223"/>
    </row>
    <row r="64" spans="1:16" ht="15">
      <c r="A64" s="234"/>
      <c r="B64" s="235"/>
      <c r="C64" s="234"/>
      <c r="D64" s="222"/>
      <c r="E64" s="223"/>
      <c r="F64" s="223"/>
      <c r="G64" s="223"/>
      <c r="H64" s="207"/>
      <c r="I64" s="207"/>
      <c r="J64" s="223"/>
      <c r="K64" s="223"/>
      <c r="L64" s="223"/>
      <c r="M64" s="223"/>
      <c r="N64" s="223"/>
      <c r="O64" s="223"/>
      <c r="P64" s="223"/>
    </row>
    <row r="65" spans="1:16" ht="15">
      <c r="A65" s="234"/>
      <c r="B65" s="235"/>
      <c r="C65" s="234"/>
      <c r="D65" s="222"/>
      <c r="E65" s="223"/>
      <c r="F65" s="223"/>
      <c r="G65" s="223"/>
      <c r="H65" s="207"/>
      <c r="I65" s="207"/>
      <c r="J65" s="223"/>
      <c r="K65" s="223"/>
      <c r="L65" s="223"/>
      <c r="M65" s="223"/>
      <c r="N65" s="223"/>
      <c r="O65" s="223"/>
      <c r="P65" s="223"/>
    </row>
    <row r="66" spans="1:16" ht="15">
      <c r="A66" s="234"/>
      <c r="B66" s="235"/>
      <c r="C66" s="234"/>
      <c r="D66" s="222"/>
      <c r="E66" s="223"/>
      <c r="F66" s="223"/>
      <c r="G66" s="223"/>
      <c r="H66" s="207"/>
      <c r="I66" s="207"/>
      <c r="J66" s="223"/>
      <c r="K66" s="223"/>
      <c r="L66" s="223"/>
      <c r="M66" s="223"/>
      <c r="N66" s="223"/>
      <c r="O66" s="223"/>
      <c r="P66" s="223"/>
    </row>
    <row r="67" spans="1:16" ht="15">
      <c r="A67" s="234"/>
      <c r="B67" s="235"/>
      <c r="C67" s="234"/>
      <c r="D67" s="222"/>
      <c r="E67" s="223"/>
      <c r="F67" s="223"/>
      <c r="G67" s="223"/>
      <c r="H67" s="207"/>
      <c r="I67" s="207"/>
      <c r="J67" s="223"/>
      <c r="K67" s="223"/>
      <c r="L67" s="223"/>
      <c r="M67" s="223"/>
      <c r="N67" s="223"/>
      <c r="O67" s="223"/>
      <c r="P67" s="223"/>
    </row>
    <row r="68" spans="1:16" ht="15">
      <c r="A68" s="234"/>
      <c r="B68" s="235"/>
      <c r="C68" s="234"/>
      <c r="D68" s="222"/>
      <c r="E68" s="223"/>
      <c r="F68" s="223"/>
      <c r="G68" s="223"/>
      <c r="H68" s="207"/>
      <c r="I68" s="207"/>
      <c r="J68" s="223"/>
      <c r="K68" s="223"/>
      <c r="L68" s="223"/>
      <c r="M68" s="223"/>
      <c r="N68" s="223"/>
      <c r="O68" s="223"/>
      <c r="P68" s="223"/>
    </row>
    <row r="69" spans="1:16" ht="15">
      <c r="A69" s="234"/>
      <c r="B69" s="235"/>
      <c r="C69" s="234"/>
      <c r="D69" s="222"/>
      <c r="E69" s="223"/>
      <c r="F69" s="223"/>
      <c r="G69" s="223"/>
      <c r="H69" s="207"/>
      <c r="I69" s="207"/>
      <c r="J69" s="223"/>
      <c r="K69" s="223"/>
      <c r="L69" s="223"/>
      <c r="M69" s="223"/>
      <c r="N69" s="223"/>
      <c r="O69" s="223"/>
      <c r="P69" s="223"/>
    </row>
    <row r="70" spans="1:16" ht="15">
      <c r="A70" s="234"/>
      <c r="B70" s="235"/>
      <c r="C70" s="234"/>
      <c r="D70" s="222"/>
      <c r="E70" s="223"/>
      <c r="F70" s="223"/>
      <c r="G70" s="223"/>
      <c r="H70" s="207"/>
      <c r="I70" s="207"/>
      <c r="J70" s="223"/>
      <c r="K70" s="223"/>
      <c r="L70" s="223"/>
      <c r="M70" s="223"/>
      <c r="N70" s="223"/>
      <c r="O70" s="223"/>
      <c r="P70" s="223"/>
    </row>
    <row r="71" spans="1:16" ht="15">
      <c r="A71" s="234"/>
      <c r="B71" s="235"/>
      <c r="C71" s="234"/>
      <c r="D71" s="222"/>
      <c r="E71" s="223"/>
      <c r="F71" s="223"/>
      <c r="G71" s="223"/>
      <c r="H71" s="207"/>
      <c r="I71" s="207"/>
      <c r="J71" s="223"/>
      <c r="K71" s="223"/>
      <c r="L71" s="223"/>
      <c r="M71" s="223"/>
      <c r="N71" s="223"/>
      <c r="O71" s="223"/>
      <c r="P71" s="223"/>
    </row>
    <row r="72" spans="1:16" ht="15">
      <c r="A72" s="234"/>
      <c r="B72" s="235"/>
      <c r="C72" s="234"/>
      <c r="D72" s="222"/>
      <c r="E72" s="223"/>
      <c r="F72" s="223"/>
      <c r="G72" s="223"/>
      <c r="H72" s="207"/>
      <c r="I72" s="207"/>
      <c r="J72" s="223"/>
      <c r="K72" s="223"/>
      <c r="L72" s="223"/>
      <c r="M72" s="223"/>
      <c r="N72" s="223"/>
      <c r="O72" s="223"/>
      <c r="P72" s="223"/>
    </row>
    <row r="73" spans="1:16" ht="15">
      <c r="A73" s="234"/>
      <c r="B73" s="235"/>
      <c r="C73" s="234"/>
      <c r="D73" s="222"/>
      <c r="E73" s="223"/>
      <c r="F73" s="223"/>
      <c r="G73" s="223"/>
      <c r="H73" s="207"/>
      <c r="I73" s="207"/>
      <c r="J73" s="223"/>
      <c r="K73" s="223"/>
      <c r="L73" s="223"/>
      <c r="M73" s="223"/>
      <c r="N73" s="223"/>
      <c r="O73" s="223"/>
      <c r="P73" s="223"/>
    </row>
    <row r="74" spans="1:16" ht="15">
      <c r="A74" s="234"/>
      <c r="B74" s="235"/>
      <c r="C74" s="234"/>
      <c r="D74" s="222"/>
      <c r="E74" s="223"/>
      <c r="F74" s="223"/>
      <c r="G74" s="223"/>
      <c r="H74" s="207"/>
      <c r="I74" s="207"/>
      <c r="J74" s="223"/>
      <c r="K74" s="223"/>
      <c r="L74" s="223"/>
      <c r="M74" s="223"/>
      <c r="N74" s="223"/>
      <c r="O74" s="223"/>
      <c r="P74" s="223"/>
    </row>
    <row r="75" spans="1:16" ht="15">
      <c r="A75" s="234"/>
      <c r="B75" s="235"/>
      <c r="C75" s="234"/>
      <c r="D75" s="222"/>
      <c r="E75" s="223"/>
      <c r="F75" s="223"/>
      <c r="G75" s="223"/>
      <c r="H75" s="207"/>
      <c r="I75" s="207"/>
      <c r="J75" s="223"/>
      <c r="K75" s="223"/>
      <c r="L75" s="223"/>
      <c r="M75" s="223"/>
      <c r="N75" s="223"/>
      <c r="O75" s="223"/>
      <c r="P75" s="223"/>
    </row>
    <row r="76" spans="1:16" ht="15">
      <c r="A76" s="234"/>
      <c r="B76" s="235"/>
      <c r="C76" s="234"/>
      <c r="D76" s="222"/>
      <c r="E76" s="223"/>
      <c r="F76" s="223"/>
      <c r="G76" s="223"/>
      <c r="H76" s="207"/>
      <c r="I76" s="207"/>
      <c r="J76" s="223"/>
      <c r="K76" s="223"/>
      <c r="L76" s="223"/>
      <c r="M76" s="223"/>
      <c r="N76" s="223"/>
      <c r="O76" s="223"/>
      <c r="P76" s="223"/>
    </row>
    <row r="77" spans="1:16" ht="15">
      <c r="A77" s="234"/>
      <c r="B77" s="235"/>
      <c r="C77" s="234"/>
      <c r="D77" s="222"/>
      <c r="E77" s="223"/>
      <c r="F77" s="223"/>
      <c r="G77" s="223"/>
      <c r="H77" s="207"/>
      <c r="I77" s="207"/>
      <c r="J77" s="223"/>
      <c r="K77" s="223"/>
      <c r="L77" s="223"/>
      <c r="M77" s="223"/>
      <c r="N77" s="223"/>
      <c r="O77" s="223"/>
      <c r="P77" s="223"/>
    </row>
    <row r="78" spans="1:16" ht="15">
      <c r="A78" s="234"/>
      <c r="B78" s="235"/>
      <c r="C78" s="234"/>
      <c r="D78" s="222"/>
      <c r="E78" s="223"/>
      <c r="F78" s="223"/>
      <c r="G78" s="223"/>
      <c r="H78" s="207"/>
      <c r="I78" s="207"/>
      <c r="J78" s="223"/>
      <c r="K78" s="223"/>
      <c r="L78" s="223"/>
      <c r="M78" s="223"/>
      <c r="N78" s="223"/>
      <c r="O78" s="223"/>
      <c r="P78" s="223"/>
    </row>
    <row r="79" spans="1:16" ht="15">
      <c r="A79" s="234"/>
      <c r="B79" s="235"/>
      <c r="C79" s="234"/>
      <c r="D79" s="222"/>
      <c r="E79" s="223"/>
      <c r="F79" s="223"/>
      <c r="G79" s="223"/>
      <c r="H79" s="207"/>
      <c r="I79" s="207"/>
      <c r="J79" s="223"/>
      <c r="K79" s="223"/>
      <c r="L79" s="223"/>
      <c r="M79" s="223"/>
      <c r="N79" s="223"/>
      <c r="O79" s="223"/>
      <c r="P79" s="223"/>
    </row>
    <row r="80" spans="1:16" ht="15">
      <c r="A80" s="234"/>
      <c r="B80" s="235"/>
      <c r="C80" s="234"/>
      <c r="D80" s="222"/>
      <c r="E80" s="223"/>
      <c r="F80" s="223"/>
      <c r="G80" s="223"/>
      <c r="H80" s="207"/>
      <c r="I80" s="207"/>
      <c r="J80" s="223"/>
      <c r="K80" s="223"/>
      <c r="L80" s="223"/>
      <c r="M80" s="223"/>
      <c r="N80" s="223"/>
      <c r="O80" s="223"/>
      <c r="P80" s="223"/>
    </row>
    <row r="81" spans="1:16" ht="15">
      <c r="A81" s="234"/>
      <c r="B81" s="235"/>
      <c r="C81" s="234"/>
      <c r="D81" s="222"/>
      <c r="E81" s="223"/>
      <c r="F81" s="223"/>
      <c r="G81" s="223"/>
      <c r="H81" s="207"/>
      <c r="I81" s="207"/>
      <c r="J81" s="223"/>
      <c r="K81" s="223"/>
      <c r="L81" s="223"/>
      <c r="M81" s="223"/>
      <c r="N81" s="223"/>
      <c r="O81" s="223"/>
      <c r="P81" s="223"/>
    </row>
    <row r="82" spans="1:16" ht="15">
      <c r="A82" s="234"/>
      <c r="B82" s="235"/>
      <c r="C82" s="234"/>
      <c r="D82" s="222"/>
      <c r="E82" s="223"/>
      <c r="F82" s="223"/>
      <c r="G82" s="223"/>
      <c r="H82" s="207"/>
      <c r="I82" s="207"/>
      <c r="J82" s="223"/>
      <c r="K82" s="223"/>
      <c r="L82" s="223"/>
      <c r="M82" s="223"/>
      <c r="N82" s="223"/>
      <c r="O82" s="223"/>
      <c r="P82" s="223"/>
    </row>
    <row r="83" spans="1:16" ht="15">
      <c r="A83" s="234"/>
      <c r="B83" s="235"/>
      <c r="C83" s="234"/>
      <c r="D83" s="222"/>
      <c r="E83" s="223"/>
      <c r="F83" s="223"/>
      <c r="G83" s="223"/>
      <c r="H83" s="207"/>
      <c r="I83" s="207"/>
      <c r="J83" s="223"/>
      <c r="K83" s="223"/>
      <c r="L83" s="223"/>
      <c r="M83" s="223"/>
      <c r="N83" s="223"/>
      <c r="O83" s="223"/>
      <c r="P83" s="223"/>
    </row>
    <row r="84" spans="1:16" ht="15">
      <c r="A84" s="234"/>
      <c r="B84" s="235"/>
      <c r="C84" s="234"/>
      <c r="D84" s="222"/>
      <c r="E84" s="223"/>
      <c r="F84" s="223"/>
      <c r="G84" s="223"/>
      <c r="H84" s="207"/>
      <c r="I84" s="207"/>
      <c r="J84" s="223"/>
      <c r="K84" s="223"/>
      <c r="L84" s="223"/>
      <c r="M84" s="223"/>
      <c r="N84" s="223"/>
      <c r="O84" s="223"/>
      <c r="P84" s="223"/>
    </row>
    <row r="85" spans="1:16" ht="15">
      <c r="A85" s="234"/>
      <c r="B85" s="235"/>
      <c r="C85" s="234"/>
      <c r="D85" s="222"/>
      <c r="E85" s="223"/>
      <c r="F85" s="223"/>
      <c r="G85" s="223"/>
      <c r="H85" s="207"/>
      <c r="I85" s="207"/>
      <c r="J85" s="223"/>
      <c r="K85" s="223"/>
      <c r="L85" s="223"/>
      <c r="M85" s="223"/>
      <c r="N85" s="223"/>
      <c r="O85" s="223"/>
      <c r="P85" s="223"/>
    </row>
    <row r="86" spans="1:16" ht="15">
      <c r="A86" s="234"/>
      <c r="B86" s="235"/>
      <c r="C86" s="234"/>
      <c r="D86" s="222"/>
      <c r="E86" s="223"/>
      <c r="F86" s="223"/>
      <c r="G86" s="223"/>
      <c r="H86" s="207"/>
      <c r="I86" s="207"/>
      <c r="J86" s="223"/>
      <c r="K86" s="223"/>
      <c r="L86" s="223"/>
      <c r="M86" s="223"/>
      <c r="N86" s="223"/>
      <c r="O86" s="223"/>
      <c r="P86" s="223"/>
    </row>
    <row r="87" spans="1:16" ht="15">
      <c r="A87" s="234"/>
      <c r="B87" s="235"/>
      <c r="C87" s="234"/>
      <c r="D87" s="222"/>
      <c r="E87" s="223"/>
      <c r="F87" s="223"/>
      <c r="G87" s="223"/>
      <c r="H87" s="207"/>
      <c r="I87" s="207"/>
      <c r="J87" s="223"/>
      <c r="K87" s="223"/>
      <c r="L87" s="223"/>
      <c r="M87" s="223"/>
      <c r="N87" s="223"/>
      <c r="O87" s="223"/>
      <c r="P87" s="223"/>
    </row>
    <row r="88" spans="1:16" ht="15">
      <c r="A88" s="234"/>
      <c r="B88" s="235"/>
      <c r="C88" s="234"/>
      <c r="D88" s="222"/>
      <c r="E88" s="223"/>
      <c r="F88" s="223"/>
      <c r="G88" s="223"/>
      <c r="H88" s="207"/>
      <c r="I88" s="207"/>
      <c r="J88" s="223"/>
      <c r="K88" s="223"/>
      <c r="L88" s="223"/>
      <c r="M88" s="223"/>
      <c r="N88" s="223"/>
      <c r="O88" s="223"/>
      <c r="P88" s="223"/>
    </row>
    <row r="89" spans="1:16" ht="15">
      <c r="A89" s="234"/>
      <c r="B89" s="235"/>
      <c r="C89" s="234"/>
      <c r="D89" s="222"/>
      <c r="E89" s="223"/>
      <c r="F89" s="223"/>
      <c r="G89" s="223"/>
      <c r="H89" s="207"/>
      <c r="I89" s="207"/>
      <c r="J89" s="223"/>
      <c r="K89" s="223"/>
      <c r="L89" s="223"/>
      <c r="M89" s="223"/>
      <c r="N89" s="223"/>
      <c r="O89" s="223"/>
      <c r="P89" s="223"/>
    </row>
    <row r="90" spans="1:16" ht="15">
      <c r="A90" s="234"/>
      <c r="B90" s="235"/>
      <c r="C90" s="234"/>
      <c r="D90" s="222"/>
      <c r="E90" s="223"/>
      <c r="F90" s="223"/>
      <c r="G90" s="223"/>
      <c r="H90" s="207"/>
      <c r="I90" s="207"/>
      <c r="J90" s="223"/>
      <c r="K90" s="223"/>
      <c r="L90" s="223"/>
      <c r="M90" s="223"/>
      <c r="N90" s="223"/>
      <c r="O90" s="223"/>
      <c r="P90" s="223"/>
    </row>
    <row r="91" spans="1:16" ht="15">
      <c r="A91" s="234"/>
      <c r="B91" s="235"/>
      <c r="C91" s="234"/>
      <c r="D91" s="222"/>
      <c r="E91" s="223"/>
      <c r="F91" s="223"/>
      <c r="G91" s="223"/>
      <c r="H91" s="207"/>
      <c r="I91" s="207"/>
      <c r="J91" s="223"/>
      <c r="K91" s="223"/>
      <c r="L91" s="223"/>
      <c r="M91" s="223"/>
      <c r="N91" s="223"/>
      <c r="O91" s="223"/>
      <c r="P91" s="223"/>
    </row>
    <row r="92" spans="1:16" ht="15">
      <c r="A92" s="234"/>
      <c r="B92" s="235"/>
      <c r="C92" s="234"/>
      <c r="D92" s="222"/>
      <c r="E92" s="223"/>
      <c r="F92" s="223"/>
      <c r="G92" s="223"/>
      <c r="H92" s="207"/>
      <c r="I92" s="207"/>
      <c r="J92" s="223"/>
      <c r="K92" s="223"/>
      <c r="L92" s="223"/>
      <c r="M92" s="223"/>
      <c r="N92" s="223"/>
      <c r="O92" s="223"/>
      <c r="P92" s="223"/>
    </row>
    <row r="93" spans="1:16" ht="15">
      <c r="A93" s="234"/>
      <c r="B93" s="235"/>
      <c r="C93" s="234"/>
      <c r="D93" s="222"/>
      <c r="E93" s="223"/>
      <c r="F93" s="223"/>
      <c r="G93" s="223"/>
      <c r="H93" s="207"/>
      <c r="I93" s="207"/>
      <c r="J93" s="223"/>
      <c r="K93" s="223"/>
      <c r="L93" s="223"/>
      <c r="M93" s="223"/>
      <c r="N93" s="223"/>
      <c r="O93" s="223"/>
      <c r="P93" s="223"/>
    </row>
    <row r="94" spans="1:16" ht="15">
      <c r="A94" s="234"/>
      <c r="B94" s="235"/>
      <c r="C94" s="234"/>
      <c r="D94" s="222"/>
      <c r="E94" s="223"/>
      <c r="F94" s="223"/>
      <c r="G94" s="223"/>
      <c r="H94" s="207"/>
      <c r="I94" s="207"/>
      <c r="J94" s="223"/>
      <c r="K94" s="223"/>
      <c r="L94" s="223"/>
      <c r="M94" s="223"/>
      <c r="N94" s="223"/>
      <c r="O94" s="223"/>
      <c r="P94" s="223"/>
    </row>
    <row r="95" spans="1:16" ht="15">
      <c r="A95" s="234"/>
      <c r="B95" s="235"/>
      <c r="C95" s="234"/>
      <c r="D95" s="222"/>
      <c r="E95" s="223"/>
      <c r="F95" s="223"/>
      <c r="G95" s="223"/>
      <c r="H95" s="207"/>
      <c r="I95" s="207"/>
      <c r="J95" s="223"/>
      <c r="K95" s="223"/>
      <c r="L95" s="223"/>
      <c r="M95" s="223"/>
      <c r="N95" s="223"/>
      <c r="O95" s="223"/>
      <c r="P95" s="223"/>
    </row>
    <row r="96" spans="1:16" ht="15">
      <c r="A96" s="234"/>
      <c r="B96" s="235"/>
      <c r="C96" s="234"/>
      <c r="D96" s="222"/>
      <c r="E96" s="223"/>
      <c r="F96" s="223"/>
      <c r="G96" s="223"/>
      <c r="H96" s="207"/>
      <c r="I96" s="207"/>
      <c r="J96" s="223"/>
      <c r="K96" s="223"/>
      <c r="L96" s="223"/>
      <c r="M96" s="223"/>
      <c r="N96" s="223"/>
      <c r="O96" s="223"/>
      <c r="P96" s="223"/>
    </row>
    <row r="97" spans="1:16" ht="15">
      <c r="A97" s="234"/>
      <c r="B97" s="235"/>
      <c r="C97" s="234"/>
      <c r="D97" s="222"/>
      <c r="E97" s="223"/>
      <c r="F97" s="223"/>
      <c r="G97" s="223"/>
      <c r="H97" s="207"/>
      <c r="I97" s="207"/>
      <c r="J97" s="223"/>
      <c r="K97" s="223"/>
      <c r="L97" s="223"/>
      <c r="M97" s="223"/>
      <c r="N97" s="223"/>
      <c r="O97" s="223"/>
      <c r="P97" s="223"/>
    </row>
    <row r="98" spans="1:16" ht="15">
      <c r="A98" s="234"/>
      <c r="B98" s="235"/>
      <c r="C98" s="234"/>
      <c r="D98" s="222"/>
      <c r="E98" s="223"/>
      <c r="F98" s="223"/>
      <c r="G98" s="223"/>
      <c r="H98" s="207"/>
      <c r="I98" s="207"/>
      <c r="J98" s="223"/>
      <c r="K98" s="223"/>
      <c r="L98" s="223"/>
      <c r="M98" s="223"/>
      <c r="N98" s="223"/>
      <c r="O98" s="223"/>
      <c r="P98" s="223"/>
    </row>
    <row r="99" spans="1:16" ht="15">
      <c r="A99" s="234"/>
      <c r="B99" s="235"/>
      <c r="C99" s="234"/>
      <c r="D99" s="222"/>
      <c r="E99" s="223"/>
      <c r="F99" s="223"/>
      <c r="G99" s="223"/>
      <c r="H99" s="207"/>
      <c r="I99" s="207"/>
      <c r="J99" s="223"/>
      <c r="K99" s="223"/>
      <c r="L99" s="223"/>
      <c r="M99" s="223"/>
      <c r="N99" s="223"/>
      <c r="O99" s="223"/>
      <c r="P99" s="223"/>
    </row>
    <row r="100" spans="1:16" ht="15">
      <c r="A100" s="234"/>
      <c r="B100" s="235"/>
      <c r="C100" s="234"/>
      <c r="D100" s="222"/>
      <c r="E100" s="223"/>
      <c r="F100" s="223"/>
      <c r="G100" s="223"/>
      <c r="H100" s="207"/>
      <c r="I100" s="207"/>
      <c r="J100" s="223"/>
      <c r="K100" s="223"/>
      <c r="L100" s="223"/>
      <c r="M100" s="223"/>
      <c r="N100" s="223"/>
      <c r="O100" s="223"/>
      <c r="P100" s="223"/>
    </row>
    <row r="101" spans="1:16" ht="15">
      <c r="A101" s="234"/>
      <c r="B101" s="235"/>
      <c r="C101" s="234"/>
      <c r="D101" s="222"/>
      <c r="E101" s="223"/>
      <c r="F101" s="223"/>
      <c r="G101" s="223"/>
      <c r="H101" s="207"/>
      <c r="I101" s="207"/>
      <c r="J101" s="223"/>
      <c r="K101" s="223"/>
      <c r="L101" s="223"/>
      <c r="M101" s="223"/>
      <c r="N101" s="223"/>
      <c r="O101" s="223"/>
      <c r="P101" s="223"/>
    </row>
    <row r="102" spans="1:16" ht="15">
      <c r="A102" s="234"/>
      <c r="B102" s="235"/>
      <c r="C102" s="234"/>
      <c r="D102" s="222"/>
      <c r="E102" s="223"/>
      <c r="F102" s="223"/>
      <c r="G102" s="223"/>
      <c r="H102" s="207"/>
      <c r="I102" s="207"/>
      <c r="J102" s="223"/>
      <c r="K102" s="223"/>
      <c r="L102" s="223"/>
      <c r="M102" s="223"/>
      <c r="N102" s="223"/>
      <c r="O102" s="223"/>
      <c r="P102" s="223"/>
    </row>
    <row r="103" spans="1:16" ht="15">
      <c r="A103" s="234"/>
      <c r="B103" s="235"/>
      <c r="C103" s="234"/>
      <c r="D103" s="222"/>
      <c r="E103" s="223"/>
      <c r="F103" s="223"/>
      <c r="G103" s="223"/>
      <c r="H103" s="207"/>
      <c r="I103" s="207"/>
      <c r="J103" s="223"/>
      <c r="K103" s="223"/>
      <c r="L103" s="223"/>
      <c r="M103" s="223"/>
      <c r="N103" s="223"/>
      <c r="O103" s="223"/>
      <c r="P103" s="223"/>
    </row>
    <row r="104" spans="1:16" ht="15">
      <c r="A104" s="234"/>
      <c r="B104" s="235"/>
      <c r="C104" s="234"/>
      <c r="D104" s="222"/>
      <c r="E104" s="223"/>
      <c r="F104" s="223"/>
      <c r="G104" s="223"/>
      <c r="H104" s="207"/>
      <c r="I104" s="207"/>
      <c r="J104" s="223"/>
      <c r="K104" s="223"/>
      <c r="L104" s="223"/>
      <c r="M104" s="223"/>
      <c r="N104" s="223"/>
      <c r="O104" s="223"/>
      <c r="P104" s="223"/>
    </row>
    <row r="105" spans="1:16" ht="15">
      <c r="A105" s="234"/>
      <c r="B105" s="235"/>
      <c r="C105" s="234"/>
      <c r="D105" s="222"/>
      <c r="E105" s="223"/>
      <c r="F105" s="223"/>
      <c r="G105" s="223"/>
      <c r="H105" s="207"/>
      <c r="I105" s="207"/>
      <c r="J105" s="223"/>
      <c r="K105" s="223"/>
      <c r="L105" s="223"/>
      <c r="M105" s="223"/>
      <c r="N105" s="223"/>
      <c r="O105" s="223"/>
      <c r="P105" s="223"/>
    </row>
    <row r="106" spans="1:16" ht="15">
      <c r="A106" s="234"/>
      <c r="B106" s="235"/>
      <c r="C106" s="234"/>
      <c r="D106" s="222"/>
      <c r="E106" s="223"/>
      <c r="F106" s="223"/>
      <c r="G106" s="223"/>
      <c r="H106" s="207"/>
      <c r="I106" s="207"/>
      <c r="J106" s="223"/>
      <c r="K106" s="223"/>
      <c r="L106" s="223"/>
      <c r="M106" s="223"/>
      <c r="N106" s="223"/>
      <c r="O106" s="223"/>
      <c r="P106" s="223"/>
    </row>
    <row r="107" spans="1:16" ht="15">
      <c r="A107" s="234"/>
      <c r="B107" s="235"/>
      <c r="C107" s="234"/>
      <c r="D107" s="222"/>
      <c r="E107" s="223"/>
      <c r="F107" s="223"/>
      <c r="G107" s="223"/>
      <c r="H107" s="207"/>
      <c r="I107" s="207"/>
      <c r="J107" s="223"/>
      <c r="K107" s="223"/>
      <c r="L107" s="223"/>
      <c r="M107" s="223"/>
      <c r="N107" s="223"/>
      <c r="O107" s="223"/>
      <c r="P107" s="223"/>
    </row>
    <row r="108" spans="1:16" ht="15">
      <c r="A108" s="234"/>
      <c r="B108" s="235"/>
      <c r="C108" s="234"/>
      <c r="D108" s="222"/>
      <c r="E108" s="223"/>
      <c r="F108" s="223"/>
      <c r="G108" s="223"/>
      <c r="H108" s="207"/>
      <c r="I108" s="207"/>
      <c r="J108" s="223"/>
      <c r="K108" s="223"/>
      <c r="L108" s="223"/>
      <c r="M108" s="223"/>
      <c r="N108" s="223"/>
      <c r="O108" s="223"/>
      <c r="P108" s="223"/>
    </row>
    <row r="109" spans="1:16" ht="15">
      <c r="A109" s="234"/>
      <c r="B109" s="235"/>
      <c r="C109" s="234"/>
      <c r="D109" s="222"/>
      <c r="E109" s="223"/>
      <c r="F109" s="223"/>
      <c r="G109" s="223"/>
      <c r="H109" s="207"/>
      <c r="I109" s="207"/>
      <c r="J109" s="223"/>
      <c r="K109" s="223"/>
      <c r="L109" s="223"/>
      <c r="M109" s="223"/>
      <c r="N109" s="223"/>
      <c r="O109" s="223"/>
      <c r="P109" s="223"/>
    </row>
    <row r="110" spans="1:16" ht="15">
      <c r="A110" s="234"/>
      <c r="B110" s="235"/>
      <c r="C110" s="234"/>
      <c r="D110" s="222"/>
      <c r="E110" s="223"/>
      <c r="F110" s="223"/>
      <c r="G110" s="223"/>
      <c r="H110" s="207"/>
      <c r="I110" s="207"/>
      <c r="J110" s="223"/>
      <c r="K110" s="223"/>
      <c r="L110" s="223"/>
      <c r="M110" s="223"/>
      <c r="N110" s="223"/>
      <c r="O110" s="223"/>
      <c r="P110" s="223"/>
    </row>
    <row r="111" spans="1:16" ht="15">
      <c r="A111" s="234"/>
      <c r="B111" s="235"/>
      <c r="C111" s="234"/>
      <c r="D111" s="222"/>
      <c r="E111" s="223"/>
      <c r="F111" s="223"/>
      <c r="G111" s="223"/>
      <c r="H111" s="207"/>
      <c r="I111" s="207"/>
      <c r="J111" s="223"/>
      <c r="K111" s="223"/>
      <c r="L111" s="223"/>
      <c r="M111" s="223"/>
      <c r="N111" s="223"/>
      <c r="O111" s="223"/>
      <c r="P111" s="223"/>
    </row>
    <row r="112" spans="1:16" ht="15">
      <c r="A112" s="234"/>
      <c r="B112" s="235"/>
      <c r="C112" s="234"/>
      <c r="D112" s="222"/>
      <c r="E112" s="223"/>
      <c r="F112" s="223"/>
      <c r="G112" s="223"/>
      <c r="H112" s="207"/>
      <c r="I112" s="207"/>
      <c r="J112" s="223"/>
      <c r="K112" s="223"/>
      <c r="L112" s="223"/>
      <c r="M112" s="223"/>
      <c r="N112" s="223"/>
      <c r="O112" s="223"/>
      <c r="P112" s="223"/>
    </row>
    <row r="113" spans="1:16" ht="15">
      <c r="A113" s="234"/>
      <c r="B113" s="235"/>
      <c r="C113" s="234"/>
      <c r="D113" s="222"/>
      <c r="E113" s="223"/>
      <c r="F113" s="223"/>
      <c r="G113" s="223"/>
      <c r="H113" s="207"/>
      <c r="I113" s="207"/>
      <c r="J113" s="223"/>
      <c r="K113" s="223"/>
      <c r="L113" s="223"/>
      <c r="M113" s="223"/>
      <c r="N113" s="223"/>
      <c r="O113" s="223"/>
      <c r="P113" s="223"/>
    </row>
    <row r="114" spans="1:16" ht="15">
      <c r="A114" s="234"/>
      <c r="B114" s="235"/>
      <c r="C114" s="234"/>
      <c r="D114" s="222"/>
      <c r="E114" s="223"/>
      <c r="F114" s="223"/>
      <c r="G114" s="223"/>
      <c r="H114" s="207"/>
      <c r="I114" s="207"/>
      <c r="J114" s="223"/>
      <c r="K114" s="223"/>
      <c r="L114" s="223"/>
      <c r="M114" s="223"/>
      <c r="N114" s="223"/>
      <c r="O114" s="223"/>
      <c r="P114" s="223"/>
    </row>
    <row r="115" spans="1:16" ht="15">
      <c r="A115" s="234"/>
      <c r="B115" s="235"/>
      <c r="C115" s="234"/>
      <c r="D115" s="222"/>
      <c r="E115" s="223"/>
      <c r="F115" s="223"/>
      <c r="G115" s="223"/>
      <c r="H115" s="207"/>
      <c r="I115" s="207"/>
      <c r="J115" s="223"/>
      <c r="K115" s="223"/>
      <c r="L115" s="223"/>
      <c r="M115" s="223"/>
      <c r="N115" s="223"/>
      <c r="O115" s="223"/>
      <c r="P115" s="223"/>
    </row>
    <row r="116" spans="1:16" ht="15">
      <c r="A116" s="234"/>
      <c r="B116" s="235"/>
      <c r="C116" s="234"/>
      <c r="D116" s="222"/>
      <c r="E116" s="223"/>
      <c r="F116" s="223"/>
      <c r="G116" s="223"/>
      <c r="H116" s="207"/>
      <c r="I116" s="207"/>
      <c r="J116" s="223"/>
      <c r="K116" s="223"/>
      <c r="L116" s="223"/>
      <c r="M116" s="223"/>
      <c r="N116" s="223"/>
      <c r="O116" s="223"/>
      <c r="P116" s="223"/>
    </row>
    <row r="117" spans="1:16" ht="15">
      <c r="A117" s="234"/>
      <c r="B117" s="235"/>
      <c r="C117" s="234"/>
      <c r="D117" s="222"/>
      <c r="E117" s="223"/>
      <c r="F117" s="223"/>
      <c r="G117" s="223"/>
      <c r="H117" s="207"/>
      <c r="I117" s="207"/>
      <c r="J117" s="223"/>
      <c r="K117" s="223"/>
      <c r="L117" s="223"/>
      <c r="M117" s="223"/>
      <c r="N117" s="223"/>
      <c r="O117" s="223"/>
      <c r="P117" s="223"/>
    </row>
    <row r="118" spans="1:16" ht="15">
      <c r="A118" s="234"/>
      <c r="B118" s="235"/>
      <c r="C118" s="234"/>
      <c r="D118" s="222"/>
      <c r="E118" s="223"/>
      <c r="F118" s="223"/>
      <c r="G118" s="223"/>
      <c r="H118" s="207"/>
      <c r="I118" s="207"/>
      <c r="J118" s="223"/>
      <c r="K118" s="223"/>
      <c r="L118" s="223"/>
      <c r="M118" s="223"/>
      <c r="N118" s="223"/>
      <c r="O118" s="223"/>
      <c r="P118" s="223"/>
    </row>
    <row r="119" spans="1:16" ht="15">
      <c r="A119" s="234"/>
      <c r="B119" s="235"/>
      <c r="C119" s="234"/>
      <c r="D119" s="222"/>
      <c r="E119" s="223"/>
      <c r="F119" s="223"/>
      <c r="G119" s="223"/>
      <c r="H119" s="207"/>
      <c r="I119" s="207"/>
      <c r="J119" s="223"/>
      <c r="K119" s="223"/>
      <c r="L119" s="223"/>
      <c r="M119" s="223"/>
      <c r="N119" s="223"/>
      <c r="O119" s="223"/>
      <c r="P119" s="223"/>
    </row>
    <row r="120" spans="1:16" ht="15">
      <c r="A120" s="234"/>
      <c r="B120" s="235"/>
      <c r="C120" s="234"/>
      <c r="D120" s="222"/>
      <c r="E120" s="223"/>
      <c r="F120" s="223"/>
      <c r="G120" s="223"/>
      <c r="H120" s="207"/>
      <c r="I120" s="207"/>
      <c r="J120" s="223"/>
      <c r="K120" s="223"/>
      <c r="L120" s="223"/>
      <c r="M120" s="223"/>
      <c r="N120" s="223"/>
      <c r="O120" s="223"/>
      <c r="P120" s="223"/>
    </row>
    <row r="121" spans="1:16" ht="15">
      <c r="A121" s="234"/>
      <c r="B121" s="235"/>
      <c r="C121" s="234"/>
      <c r="D121" s="222"/>
      <c r="E121" s="223"/>
      <c r="F121" s="223"/>
      <c r="G121" s="223"/>
      <c r="H121" s="207"/>
      <c r="I121" s="207"/>
      <c r="J121" s="223"/>
      <c r="K121" s="223"/>
      <c r="L121" s="223"/>
      <c r="M121" s="223"/>
      <c r="N121" s="223"/>
      <c r="O121" s="223"/>
      <c r="P121" s="223"/>
    </row>
    <row r="122" spans="1:16" ht="15">
      <c r="A122" s="234"/>
      <c r="B122" s="235"/>
      <c r="C122" s="234"/>
      <c r="D122" s="222"/>
      <c r="E122" s="223"/>
      <c r="F122" s="223"/>
      <c r="G122" s="223"/>
      <c r="H122" s="207"/>
      <c r="I122" s="207"/>
      <c r="J122" s="223"/>
      <c r="K122" s="223"/>
      <c r="L122" s="223"/>
      <c r="M122" s="223"/>
      <c r="N122" s="223"/>
      <c r="O122" s="223"/>
      <c r="P122" s="223"/>
    </row>
    <row r="123" spans="1:16" ht="15">
      <c r="A123" s="234"/>
      <c r="B123" s="235"/>
      <c r="C123" s="234"/>
      <c r="D123" s="222"/>
      <c r="E123" s="223"/>
      <c r="F123" s="223"/>
      <c r="G123" s="223"/>
      <c r="H123" s="207"/>
      <c r="I123" s="207"/>
      <c r="J123" s="223"/>
      <c r="K123" s="223"/>
      <c r="L123" s="223"/>
      <c r="M123" s="223"/>
      <c r="N123" s="223"/>
      <c r="O123" s="223"/>
      <c r="P123" s="223"/>
    </row>
    <row r="124" spans="1:16" ht="15">
      <c r="A124" s="234"/>
      <c r="B124" s="235"/>
      <c r="C124" s="234"/>
      <c r="D124" s="222"/>
      <c r="E124" s="223"/>
      <c r="F124" s="223"/>
      <c r="G124" s="223"/>
      <c r="H124" s="207"/>
      <c r="I124" s="207"/>
      <c r="J124" s="223"/>
      <c r="K124" s="223"/>
      <c r="L124" s="223"/>
      <c r="M124" s="223"/>
      <c r="N124" s="223"/>
      <c r="O124" s="223"/>
      <c r="P124" s="223"/>
    </row>
    <row r="125" spans="1:16" ht="15">
      <c r="A125" s="234"/>
      <c r="B125" s="235"/>
      <c r="C125" s="234"/>
      <c r="D125" s="222"/>
      <c r="E125" s="223"/>
      <c r="F125" s="223"/>
      <c r="G125" s="223"/>
      <c r="H125" s="207"/>
      <c r="I125" s="207"/>
      <c r="J125" s="223"/>
      <c r="K125" s="223"/>
      <c r="L125" s="223"/>
      <c r="M125" s="223"/>
      <c r="N125" s="223"/>
      <c r="O125" s="223"/>
      <c r="P125" s="223"/>
    </row>
    <row r="126" spans="1:16" ht="15">
      <c r="A126" s="234"/>
      <c r="B126" s="235"/>
      <c r="C126" s="234"/>
      <c r="D126" s="222"/>
      <c r="E126" s="223"/>
      <c r="F126" s="223"/>
      <c r="G126" s="223"/>
      <c r="H126" s="207"/>
      <c r="I126" s="207"/>
      <c r="J126" s="223"/>
      <c r="K126" s="223"/>
      <c r="L126" s="223"/>
      <c r="M126" s="223"/>
      <c r="N126" s="223"/>
      <c r="O126" s="223"/>
      <c r="P126" s="223"/>
    </row>
    <row r="127" spans="1:16" ht="15">
      <c r="A127" s="234"/>
      <c r="B127" s="235"/>
      <c r="C127" s="234"/>
      <c r="D127" s="222"/>
      <c r="E127" s="223"/>
      <c r="F127" s="223"/>
      <c r="G127" s="223"/>
      <c r="H127" s="207"/>
      <c r="I127" s="207"/>
      <c r="J127" s="223"/>
      <c r="K127" s="223"/>
      <c r="L127" s="223"/>
      <c r="M127" s="223"/>
      <c r="N127" s="223"/>
      <c r="O127" s="223"/>
      <c r="P127" s="223"/>
    </row>
    <row r="128" spans="1:16" ht="15">
      <c r="A128" s="234"/>
      <c r="B128" s="235"/>
      <c r="C128" s="234"/>
      <c r="D128" s="222"/>
      <c r="E128" s="223"/>
      <c r="F128" s="223"/>
      <c r="G128" s="223"/>
      <c r="H128" s="207"/>
      <c r="I128" s="207"/>
      <c r="J128" s="223"/>
      <c r="K128" s="223"/>
      <c r="L128" s="223"/>
      <c r="M128" s="223"/>
      <c r="N128" s="223"/>
      <c r="O128" s="223"/>
      <c r="P128" s="223"/>
    </row>
    <row r="129" spans="1:16" ht="15">
      <c r="A129" s="234"/>
      <c r="B129" s="235"/>
      <c r="C129" s="234"/>
      <c r="D129" s="222"/>
      <c r="E129" s="223"/>
      <c r="F129" s="223"/>
      <c r="G129" s="223"/>
      <c r="H129" s="207"/>
      <c r="I129" s="207"/>
      <c r="J129" s="223"/>
      <c r="K129" s="223"/>
      <c r="L129" s="223"/>
      <c r="M129" s="223"/>
      <c r="N129" s="223"/>
      <c r="O129" s="223"/>
      <c r="P129" s="223"/>
    </row>
    <row r="130" spans="1:16" ht="15">
      <c r="A130" s="234"/>
      <c r="B130" s="235"/>
      <c r="C130" s="234"/>
      <c r="D130" s="222"/>
      <c r="E130" s="223"/>
      <c r="F130" s="223"/>
      <c r="G130" s="223"/>
      <c r="H130" s="207"/>
      <c r="I130" s="207"/>
      <c r="J130" s="223"/>
      <c r="K130" s="223"/>
      <c r="L130" s="223"/>
      <c r="M130" s="223"/>
      <c r="N130" s="223"/>
      <c r="O130" s="223"/>
      <c r="P130" s="223"/>
    </row>
    <row r="131" spans="1:16" ht="15">
      <c r="A131" s="234"/>
      <c r="B131" s="235"/>
      <c r="C131" s="234"/>
      <c r="D131" s="222"/>
      <c r="E131" s="223"/>
      <c r="F131" s="223"/>
      <c r="G131" s="223"/>
      <c r="H131" s="207"/>
      <c r="I131" s="207"/>
      <c r="J131" s="223"/>
      <c r="K131" s="223"/>
      <c r="L131" s="223"/>
      <c r="M131" s="223"/>
      <c r="N131" s="223"/>
      <c r="O131" s="223"/>
      <c r="P131" s="223"/>
    </row>
    <row r="132" spans="1:16" ht="15">
      <c r="A132" s="234"/>
      <c r="B132" s="235"/>
      <c r="C132" s="234"/>
      <c r="D132" s="222"/>
      <c r="E132" s="223"/>
      <c r="F132" s="223"/>
      <c r="G132" s="223"/>
      <c r="H132" s="207"/>
      <c r="I132" s="207"/>
      <c r="J132" s="223"/>
      <c r="K132" s="223"/>
      <c r="L132" s="223"/>
      <c r="M132" s="223"/>
      <c r="N132" s="223"/>
      <c r="O132" s="223"/>
      <c r="P132" s="223"/>
    </row>
    <row r="133" spans="1:16" ht="15">
      <c r="A133" s="234"/>
      <c r="B133" s="235"/>
      <c r="C133" s="234"/>
      <c r="D133" s="222"/>
      <c r="E133" s="223"/>
      <c r="F133" s="223"/>
      <c r="G133" s="223"/>
      <c r="H133" s="207"/>
      <c r="I133" s="207"/>
      <c r="J133" s="223"/>
      <c r="K133" s="223"/>
      <c r="L133" s="223"/>
      <c r="M133" s="223"/>
      <c r="N133" s="223"/>
      <c r="O133" s="223"/>
      <c r="P133" s="223"/>
    </row>
    <row r="134" spans="1:16" ht="15">
      <c r="A134" s="234"/>
      <c r="B134" s="235"/>
      <c r="C134" s="234"/>
      <c r="D134" s="222"/>
      <c r="E134" s="223"/>
      <c r="F134" s="223"/>
      <c r="G134" s="223"/>
      <c r="H134" s="207"/>
      <c r="I134" s="207"/>
      <c r="J134" s="223"/>
      <c r="K134" s="223"/>
      <c r="L134" s="223"/>
      <c r="M134" s="223"/>
      <c r="N134" s="223"/>
      <c r="O134" s="223"/>
      <c r="P134" s="223"/>
    </row>
    <row r="135" spans="1:16" ht="15">
      <c r="A135" s="234"/>
      <c r="B135" s="235"/>
      <c r="C135" s="234"/>
      <c r="D135" s="222"/>
      <c r="E135" s="223"/>
      <c r="F135" s="223"/>
      <c r="G135" s="223"/>
      <c r="H135" s="207"/>
      <c r="I135" s="207"/>
      <c r="J135" s="223"/>
      <c r="K135" s="223"/>
      <c r="L135" s="223"/>
      <c r="M135" s="223"/>
      <c r="N135" s="223"/>
      <c r="O135" s="223"/>
      <c r="P135" s="223"/>
    </row>
    <row r="136" spans="1:16" ht="15">
      <c r="A136" s="234"/>
      <c r="B136" s="235"/>
      <c r="C136" s="234"/>
      <c r="D136" s="222"/>
      <c r="E136" s="223"/>
      <c r="F136" s="223"/>
      <c r="G136" s="223"/>
      <c r="H136" s="207"/>
      <c r="I136" s="207"/>
      <c r="J136" s="223"/>
      <c r="K136" s="223"/>
      <c r="L136" s="223"/>
      <c r="M136" s="223"/>
      <c r="N136" s="223"/>
      <c r="O136" s="223"/>
      <c r="P136" s="223"/>
    </row>
    <row r="137" spans="1:16" ht="15">
      <c r="A137" s="234"/>
      <c r="B137" s="235"/>
      <c r="C137" s="234"/>
      <c r="D137" s="222"/>
      <c r="E137" s="223"/>
      <c r="F137" s="223"/>
      <c r="G137" s="223"/>
      <c r="H137" s="207"/>
      <c r="I137" s="207"/>
      <c r="J137" s="223"/>
      <c r="K137" s="223"/>
      <c r="L137" s="223"/>
      <c r="M137" s="223"/>
      <c r="N137" s="223"/>
      <c r="O137" s="223"/>
      <c r="P137" s="223"/>
    </row>
    <row r="138" spans="1:16" ht="15">
      <c r="A138" s="234"/>
      <c r="B138" s="235"/>
      <c r="C138" s="234"/>
      <c r="D138" s="222"/>
      <c r="E138" s="223"/>
      <c r="F138" s="223"/>
      <c r="G138" s="223"/>
      <c r="H138" s="207"/>
      <c r="I138" s="207"/>
      <c r="J138" s="223"/>
      <c r="K138" s="223"/>
      <c r="L138" s="223"/>
      <c r="M138" s="223"/>
      <c r="N138" s="223"/>
      <c r="O138" s="223"/>
      <c r="P138" s="223"/>
    </row>
    <row r="139" spans="1:16" ht="15">
      <c r="A139" s="234"/>
      <c r="B139" s="235"/>
      <c r="C139" s="234"/>
      <c r="D139" s="222"/>
      <c r="E139" s="223"/>
      <c r="F139" s="223"/>
      <c r="G139" s="223"/>
      <c r="H139" s="207"/>
      <c r="I139" s="207"/>
      <c r="J139" s="223"/>
      <c r="K139" s="223"/>
      <c r="L139" s="223"/>
      <c r="M139" s="223"/>
      <c r="N139" s="223"/>
      <c r="O139" s="223"/>
      <c r="P139" s="223"/>
    </row>
    <row r="140" spans="1:16" ht="15">
      <c r="A140" s="234"/>
      <c r="B140" s="235"/>
      <c r="C140" s="234"/>
      <c r="D140" s="222"/>
      <c r="E140" s="223"/>
      <c r="F140" s="223"/>
      <c r="G140" s="223"/>
      <c r="H140" s="207"/>
      <c r="I140" s="207"/>
      <c r="J140" s="223"/>
      <c r="K140" s="223"/>
      <c r="L140" s="223"/>
      <c r="M140" s="223"/>
      <c r="N140" s="223"/>
      <c r="O140" s="223"/>
      <c r="P140" s="223"/>
    </row>
    <row r="141" spans="1:16" ht="15">
      <c r="A141" s="234"/>
      <c r="B141" s="235"/>
      <c r="C141" s="234"/>
      <c r="D141" s="222"/>
      <c r="E141" s="223"/>
      <c r="F141" s="223"/>
      <c r="G141" s="223"/>
      <c r="H141" s="207"/>
      <c r="I141" s="207"/>
      <c r="J141" s="223"/>
      <c r="K141" s="223"/>
      <c r="L141" s="223"/>
      <c r="M141" s="223"/>
      <c r="N141" s="223"/>
      <c r="O141" s="223"/>
      <c r="P141" s="223"/>
    </row>
    <row r="142" spans="1:16" ht="15">
      <c r="A142" s="234"/>
      <c r="B142" s="235"/>
      <c r="C142" s="234"/>
      <c r="D142" s="222"/>
      <c r="E142" s="223"/>
      <c r="F142" s="223"/>
      <c r="G142" s="223"/>
      <c r="H142" s="207"/>
      <c r="I142" s="207"/>
      <c r="J142" s="223"/>
      <c r="K142" s="223"/>
      <c r="L142" s="223"/>
      <c r="M142" s="223"/>
      <c r="N142" s="223"/>
      <c r="O142" s="223"/>
      <c r="P142" s="223"/>
    </row>
    <row r="143" spans="1:16" ht="15">
      <c r="A143" s="234"/>
      <c r="B143" s="235"/>
      <c r="C143" s="234"/>
      <c r="D143" s="222"/>
      <c r="E143" s="223"/>
      <c r="F143" s="223"/>
      <c r="G143" s="223"/>
      <c r="H143" s="207"/>
      <c r="I143" s="207"/>
      <c r="J143" s="223"/>
      <c r="K143" s="223"/>
      <c r="L143" s="223"/>
      <c r="M143" s="223"/>
      <c r="N143" s="223"/>
      <c r="O143" s="223"/>
      <c r="P143" s="223"/>
    </row>
    <row r="144" spans="1:16" ht="15">
      <c r="A144" s="234"/>
      <c r="B144" s="235"/>
      <c r="C144" s="234"/>
      <c r="D144" s="222"/>
      <c r="E144" s="223"/>
      <c r="F144" s="223"/>
      <c r="G144" s="223"/>
      <c r="H144" s="207"/>
      <c r="I144" s="207"/>
      <c r="J144" s="223"/>
      <c r="K144" s="223"/>
      <c r="L144" s="223"/>
      <c r="M144" s="223"/>
      <c r="N144" s="223"/>
      <c r="O144" s="223"/>
      <c r="P144" s="223"/>
    </row>
    <row r="145" spans="1:16" ht="15">
      <c r="A145" s="234"/>
      <c r="B145" s="235"/>
      <c r="C145" s="234"/>
      <c r="D145" s="222"/>
      <c r="E145" s="223"/>
      <c r="F145" s="223"/>
      <c r="G145" s="223"/>
      <c r="H145" s="207"/>
      <c r="I145" s="207"/>
      <c r="J145" s="223"/>
      <c r="K145" s="223"/>
      <c r="L145" s="223"/>
      <c r="M145" s="223"/>
      <c r="N145" s="223"/>
      <c r="O145" s="223"/>
      <c r="P145" s="223"/>
    </row>
    <row r="146" spans="1:16" ht="15">
      <c r="A146" s="234"/>
      <c r="B146" s="235"/>
      <c r="C146" s="234"/>
      <c r="D146" s="222"/>
      <c r="E146" s="223"/>
      <c r="F146" s="223"/>
      <c r="G146" s="223"/>
      <c r="H146" s="207"/>
      <c r="I146" s="207"/>
      <c r="J146" s="223"/>
      <c r="K146" s="223"/>
      <c r="L146" s="223"/>
      <c r="M146" s="223"/>
      <c r="N146" s="223"/>
      <c r="O146" s="223"/>
      <c r="P146" s="223"/>
    </row>
    <row r="147" spans="1:16" ht="15">
      <c r="A147" s="234"/>
      <c r="B147" s="235"/>
      <c r="C147" s="234"/>
      <c r="D147" s="222"/>
      <c r="E147" s="223"/>
      <c r="F147" s="223"/>
      <c r="G147" s="223"/>
      <c r="H147" s="207"/>
      <c r="I147" s="207"/>
      <c r="J147" s="223"/>
      <c r="K147" s="223"/>
      <c r="L147" s="223"/>
      <c r="M147" s="223"/>
      <c r="N147" s="223"/>
      <c r="O147" s="223"/>
      <c r="P147" s="223"/>
    </row>
    <row r="148" spans="1:16" ht="15">
      <c r="A148" s="234"/>
      <c r="B148" s="235"/>
      <c r="C148" s="234"/>
      <c r="D148" s="222"/>
      <c r="E148" s="223"/>
      <c r="F148" s="223"/>
      <c r="G148" s="223"/>
      <c r="H148" s="207"/>
      <c r="I148" s="207"/>
      <c r="J148" s="223"/>
      <c r="K148" s="223"/>
      <c r="L148" s="223"/>
      <c r="M148" s="223"/>
      <c r="N148" s="223"/>
      <c r="O148" s="223"/>
      <c r="P148" s="223"/>
    </row>
    <row r="149" spans="1:16" ht="15">
      <c r="A149" s="234"/>
      <c r="B149" s="235"/>
      <c r="C149" s="234"/>
      <c r="D149" s="222"/>
      <c r="E149" s="223"/>
      <c r="F149" s="223"/>
      <c r="G149" s="223"/>
      <c r="H149" s="207"/>
      <c r="I149" s="207"/>
      <c r="J149" s="223"/>
      <c r="K149" s="223"/>
      <c r="L149" s="223"/>
      <c r="M149" s="223"/>
      <c r="N149" s="223"/>
      <c r="O149" s="223"/>
      <c r="P149" s="223"/>
    </row>
    <row r="150" spans="1:16" ht="15">
      <c r="A150" s="234"/>
      <c r="B150" s="235"/>
      <c r="C150" s="234"/>
      <c r="D150" s="222"/>
      <c r="E150" s="223"/>
      <c r="F150" s="223"/>
      <c r="G150" s="223"/>
      <c r="H150" s="207"/>
      <c r="I150" s="207"/>
      <c r="J150" s="223"/>
      <c r="K150" s="223"/>
      <c r="L150" s="223"/>
      <c r="M150" s="223"/>
      <c r="N150" s="223"/>
      <c r="O150" s="223"/>
      <c r="P150" s="223"/>
    </row>
    <row r="151" spans="1:16" ht="15">
      <c r="A151" s="234"/>
      <c r="B151" s="235"/>
      <c r="C151" s="234"/>
      <c r="D151" s="222"/>
      <c r="E151" s="223"/>
      <c r="F151" s="223"/>
      <c r="G151" s="223"/>
      <c r="H151" s="207"/>
      <c r="I151" s="207"/>
      <c r="J151" s="223"/>
      <c r="K151" s="223"/>
      <c r="L151" s="223"/>
      <c r="M151" s="223"/>
      <c r="N151" s="223"/>
      <c r="O151" s="223"/>
      <c r="P151" s="223"/>
    </row>
    <row r="152" spans="1:16" ht="15">
      <c r="A152" s="234"/>
      <c r="B152" s="235"/>
      <c r="C152" s="234"/>
      <c r="D152" s="222"/>
      <c r="E152" s="223"/>
      <c r="F152" s="223"/>
      <c r="G152" s="223"/>
      <c r="H152" s="207"/>
      <c r="I152" s="207"/>
      <c r="J152" s="223"/>
      <c r="K152" s="223"/>
      <c r="L152" s="223"/>
      <c r="M152" s="223"/>
      <c r="N152" s="223"/>
      <c r="O152" s="223"/>
      <c r="P152" s="223"/>
    </row>
    <row r="153" spans="1:16" ht="15">
      <c r="A153" s="234"/>
      <c r="B153" s="235"/>
      <c r="C153" s="234"/>
      <c r="D153" s="222"/>
      <c r="E153" s="223"/>
      <c r="F153" s="223"/>
      <c r="G153" s="223"/>
      <c r="H153" s="207"/>
      <c r="I153" s="207"/>
      <c r="J153" s="223"/>
      <c r="K153" s="223"/>
      <c r="L153" s="223"/>
      <c r="M153" s="223"/>
      <c r="N153" s="223"/>
      <c r="O153" s="223"/>
      <c r="P153" s="223"/>
    </row>
    <row r="154" spans="1:16" ht="15">
      <c r="A154" s="234"/>
      <c r="B154" s="235"/>
      <c r="C154" s="234"/>
      <c r="D154" s="222"/>
      <c r="E154" s="223"/>
      <c r="F154" s="223"/>
      <c r="G154" s="223"/>
      <c r="H154" s="207"/>
      <c r="I154" s="207"/>
      <c r="J154" s="223"/>
      <c r="K154" s="223"/>
      <c r="L154" s="223"/>
      <c r="M154" s="223"/>
      <c r="N154" s="223"/>
      <c r="O154" s="223"/>
      <c r="P154" s="223"/>
    </row>
    <row r="155" spans="1:16" ht="15">
      <c r="A155" s="234"/>
      <c r="B155" s="235"/>
      <c r="C155" s="234"/>
      <c r="D155" s="222"/>
      <c r="E155" s="223"/>
      <c r="F155" s="223"/>
      <c r="G155" s="223"/>
      <c r="H155" s="207"/>
      <c r="I155" s="207"/>
      <c r="J155" s="223"/>
      <c r="K155" s="223"/>
      <c r="L155" s="223"/>
      <c r="M155" s="223"/>
      <c r="N155" s="223"/>
      <c r="O155" s="223"/>
      <c r="P155" s="223"/>
    </row>
    <row r="156" spans="1:16" ht="15">
      <c r="A156" s="234"/>
      <c r="B156" s="235"/>
      <c r="C156" s="234"/>
      <c r="D156" s="222"/>
      <c r="E156" s="223"/>
      <c r="F156" s="223"/>
      <c r="G156" s="223"/>
      <c r="H156" s="207"/>
      <c r="I156" s="207"/>
      <c r="J156" s="223"/>
      <c r="K156" s="223"/>
      <c r="L156" s="223"/>
      <c r="M156" s="223"/>
      <c r="N156" s="223"/>
      <c r="O156" s="223"/>
      <c r="P156" s="223"/>
    </row>
  </sheetData>
  <sheetProtection selectLockedCells="1" selectUnlockedCells="1"/>
  <mergeCells count="20">
    <mergeCell ref="A7:B7"/>
    <mergeCell ref="C26:G26"/>
    <mergeCell ref="K26:P26"/>
    <mergeCell ref="I28:J28"/>
    <mergeCell ref="F10:K10"/>
    <mergeCell ref="L10:P10"/>
    <mergeCell ref="C20:K20"/>
    <mergeCell ref="C21:K21"/>
    <mergeCell ref="D10:D11"/>
    <mergeCell ref="E10:E11"/>
    <mergeCell ref="A25:B25"/>
    <mergeCell ref="I25:J25"/>
    <mergeCell ref="A1:P1"/>
    <mergeCell ref="A2:P2"/>
    <mergeCell ref="M8:N8"/>
    <mergeCell ref="O8:P8"/>
    <mergeCell ref="G9:H9"/>
    <mergeCell ref="A10:A11"/>
    <mergeCell ref="B10:B11"/>
    <mergeCell ref="C10:C11"/>
  </mergeCells>
  <printOptions horizontalCentered="1"/>
  <pageMargins left="0.3597222222222222" right="0.2701388888888889" top="0.7875" bottom="0.5902777777777778" header="0.5118055555555555" footer="0.19652777777777777"/>
  <pageSetup firstPageNumber="1" useFirstPageNumber="1" horizontalDpi="300" verticalDpi="300" orientation="landscape" paperSize="9" scale="63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R178"/>
  <sheetViews>
    <sheetView showZeros="0" view="pageBreakPreview" zoomScale="70" zoomScaleNormal="55" zoomScaleSheetLayoutView="70" zoomScalePageLayoutView="0" workbookViewId="0" topLeftCell="A1">
      <selection activeCell="A7" sqref="A7:IV7"/>
    </sheetView>
  </sheetViews>
  <sheetFormatPr defaultColWidth="37" defaultRowHeight="15.75"/>
  <cols>
    <col min="1" max="1" width="4.796875" style="227" customWidth="1"/>
    <col min="2" max="2" width="9.09765625" style="354" customWidth="1"/>
    <col min="3" max="3" width="29.59765625" style="227" customWidth="1"/>
    <col min="4" max="4" width="6.19921875" style="227" customWidth="1"/>
    <col min="5" max="5" width="9.09765625" style="227" customWidth="1"/>
    <col min="6" max="6" width="6" style="227" customWidth="1"/>
    <col min="7" max="7" width="7.3984375" style="227" customWidth="1"/>
    <col min="8" max="8" width="9.296875" style="355" customWidth="1"/>
    <col min="9" max="9" width="10.296875" style="355" customWidth="1"/>
    <col min="10" max="10" width="9.296875" style="227" customWidth="1"/>
    <col min="11" max="11" width="11" style="227" customWidth="1"/>
    <col min="12" max="12" width="9.8984375" style="227" customWidth="1"/>
    <col min="13" max="13" width="11.59765625" style="227" customWidth="1"/>
    <col min="14" max="14" width="12" style="227" customWidth="1"/>
    <col min="15" max="16" width="11.3984375" style="227" customWidth="1"/>
    <col min="17" max="34" width="11.296875" style="227" customWidth="1"/>
    <col min="35" max="16384" width="37" style="227" customWidth="1"/>
  </cols>
  <sheetData>
    <row r="1" spans="1:16" ht="19.5" customHeight="1">
      <c r="A1" s="425" t="s">
        <v>667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</row>
    <row r="2" spans="1:16" ht="19.5" customHeight="1">
      <c r="A2" s="426" t="s">
        <v>668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</row>
    <row r="3" spans="1:16" ht="19.5" customHeight="1">
      <c r="A3" s="188" t="str">
        <f>'1-3 (1)'!A3</f>
        <v>Būves nosaukums:     Tautas nama "Kalngravas" rekonstrukcija- 2. kārta </v>
      </c>
      <c r="B3" s="222"/>
      <c r="C3" s="189"/>
      <c r="D3" s="189"/>
      <c r="E3" s="189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6" ht="19.5" customHeight="1">
      <c r="A4" s="188" t="str">
        <f>'1-3 (1)'!A4</f>
        <v>Objekta nosaukums:  Tautas nama "Kalngravas" rekonstrukcija</v>
      </c>
      <c r="B4" s="222"/>
      <c r="C4" s="189"/>
      <c r="D4" s="189"/>
      <c r="E4" s="189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</row>
    <row r="5" spans="1:16" ht="19.5" customHeight="1">
      <c r="A5" s="188" t="str">
        <f>'1-3 (1)'!A5</f>
        <v>Būves adrese:  Kalngravas 1, Sarkaņu pagasts, Madonas novads</v>
      </c>
      <c r="B5" s="222"/>
      <c r="C5" s="189"/>
      <c r="D5" s="189"/>
      <c r="E5" s="189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</row>
    <row r="6" spans="1:16" ht="19.5" customHeight="1">
      <c r="A6" s="188" t="str">
        <f>'1-3 (1)'!A6</f>
        <v>Pasūtījuma Nr.: </v>
      </c>
      <c r="B6" s="222"/>
      <c r="C6" s="192" t="s">
        <v>845</v>
      </c>
      <c r="D6" s="189"/>
      <c r="E6" s="189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</row>
    <row r="7" spans="1:8" s="4" customFormat="1" ht="25.5" customHeight="1">
      <c r="A7" s="391" t="s">
        <v>852</v>
      </c>
      <c r="B7" s="391"/>
      <c r="C7" s="386"/>
      <c r="D7" s="386"/>
      <c r="E7" s="386"/>
      <c r="F7" s="386"/>
      <c r="G7" s="386"/>
      <c r="H7" s="386"/>
    </row>
    <row r="8" spans="1:16" ht="19.5" customHeight="1">
      <c r="A8" s="53" t="s">
        <v>855</v>
      </c>
      <c r="B8" s="222"/>
      <c r="C8" s="189"/>
      <c r="D8" s="189"/>
      <c r="E8" s="189"/>
      <c r="F8" s="191"/>
      <c r="G8" s="191"/>
      <c r="H8" s="191"/>
      <c r="I8" s="191"/>
      <c r="J8" s="191"/>
      <c r="K8" s="191"/>
      <c r="L8" s="191"/>
      <c r="M8" s="456" t="s">
        <v>47</v>
      </c>
      <c r="N8" s="456"/>
      <c r="O8" s="457">
        <f>P43</f>
        <v>0</v>
      </c>
      <c r="P8" s="457"/>
    </row>
    <row r="9" spans="1:16" ht="15" customHeight="1">
      <c r="A9" s="321"/>
      <c r="B9" s="321"/>
      <c r="C9" s="194"/>
      <c r="D9" s="194"/>
      <c r="E9" s="197"/>
      <c r="F9" s="197"/>
      <c r="G9" s="451"/>
      <c r="H9" s="451"/>
      <c r="I9" s="197"/>
      <c r="J9" s="197"/>
      <c r="K9" s="197"/>
      <c r="L9" s="280"/>
      <c r="M9" s="197"/>
      <c r="N9" s="197"/>
      <c r="O9" s="197"/>
      <c r="P9" s="197"/>
    </row>
    <row r="10" spans="1:16" ht="19.5" customHeight="1">
      <c r="A10" s="429" t="s">
        <v>4</v>
      </c>
      <c r="B10" s="429" t="s">
        <v>48</v>
      </c>
      <c r="C10" s="430" t="s">
        <v>49</v>
      </c>
      <c r="D10" s="429" t="s">
        <v>50</v>
      </c>
      <c r="E10" s="429" t="s">
        <v>51</v>
      </c>
      <c r="F10" s="431" t="s">
        <v>52</v>
      </c>
      <c r="G10" s="431"/>
      <c r="H10" s="431"/>
      <c r="I10" s="431"/>
      <c r="J10" s="431"/>
      <c r="K10" s="431"/>
      <c r="L10" s="431" t="s">
        <v>53</v>
      </c>
      <c r="M10" s="431"/>
      <c r="N10" s="431"/>
      <c r="O10" s="431"/>
      <c r="P10" s="431"/>
    </row>
    <row r="11" spans="1:16" ht="99.75" customHeight="1">
      <c r="A11" s="429"/>
      <c r="B11" s="429"/>
      <c r="C11" s="430"/>
      <c r="D11" s="429"/>
      <c r="E11" s="429"/>
      <c r="F11" s="26" t="s">
        <v>54</v>
      </c>
      <c r="G11" s="26" t="s">
        <v>55</v>
      </c>
      <c r="H11" s="26" t="s">
        <v>56</v>
      </c>
      <c r="I11" s="26" t="s">
        <v>57</v>
      </c>
      <c r="J11" s="26" t="s">
        <v>58</v>
      </c>
      <c r="K11" s="26" t="s">
        <v>59</v>
      </c>
      <c r="L11" s="26" t="s">
        <v>60</v>
      </c>
      <c r="M11" s="26" t="s">
        <v>56</v>
      </c>
      <c r="N11" s="26" t="s">
        <v>57</v>
      </c>
      <c r="O11" s="26" t="s">
        <v>58</v>
      </c>
      <c r="P11" s="26" t="s">
        <v>61</v>
      </c>
    </row>
    <row r="12" spans="1:16" ht="33.75" customHeight="1">
      <c r="A12" s="198">
        <v>1</v>
      </c>
      <c r="B12" s="26"/>
      <c r="C12" s="322" t="s">
        <v>669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33.75" customHeight="1">
      <c r="A13" s="198">
        <v>2</v>
      </c>
      <c r="B13" s="200" t="s">
        <v>670</v>
      </c>
      <c r="C13" s="202" t="s">
        <v>671</v>
      </c>
      <c r="D13" s="202" t="s">
        <v>420</v>
      </c>
      <c r="E13" s="284">
        <v>25</v>
      </c>
      <c r="F13" s="285"/>
      <c r="G13" s="286"/>
      <c r="H13" s="286"/>
      <c r="I13" s="286"/>
      <c r="J13" s="286"/>
      <c r="K13" s="286"/>
      <c r="L13" s="286"/>
      <c r="M13" s="286"/>
      <c r="N13" s="286"/>
      <c r="O13" s="286"/>
      <c r="P13" s="286"/>
    </row>
    <row r="14" spans="1:16" ht="33.75" customHeight="1">
      <c r="A14" s="198">
        <v>3</v>
      </c>
      <c r="B14" s="200" t="s">
        <v>672</v>
      </c>
      <c r="C14" s="64" t="s">
        <v>673</v>
      </c>
      <c r="D14" s="64" t="s">
        <v>64</v>
      </c>
      <c r="E14" s="323">
        <v>1</v>
      </c>
      <c r="F14" s="324"/>
      <c r="G14" s="286"/>
      <c r="H14" s="325"/>
      <c r="I14" s="325"/>
      <c r="J14" s="325"/>
      <c r="K14" s="325"/>
      <c r="L14" s="325"/>
      <c r="M14" s="325"/>
      <c r="N14" s="325"/>
      <c r="O14" s="325"/>
      <c r="P14" s="325"/>
    </row>
    <row r="15" spans="1:16" ht="33.75" customHeight="1">
      <c r="A15" s="198">
        <v>4</v>
      </c>
      <c r="B15" s="200" t="s">
        <v>674</v>
      </c>
      <c r="C15" s="326" t="s">
        <v>675</v>
      </c>
      <c r="D15" s="326" t="s">
        <v>65</v>
      </c>
      <c r="E15" s="327">
        <v>2</v>
      </c>
      <c r="F15" s="328"/>
      <c r="G15" s="286"/>
      <c r="H15" s="329"/>
      <c r="I15" s="329"/>
      <c r="J15" s="329"/>
      <c r="K15" s="329"/>
      <c r="L15" s="329"/>
      <c r="M15" s="329"/>
      <c r="N15" s="329"/>
      <c r="O15" s="329"/>
      <c r="P15" s="329"/>
    </row>
    <row r="16" spans="1:16" ht="33.75" customHeight="1">
      <c r="A16" s="198">
        <v>5</v>
      </c>
      <c r="B16" s="200" t="s">
        <v>676</v>
      </c>
      <c r="C16" s="202" t="s">
        <v>677</v>
      </c>
      <c r="D16" s="202" t="s">
        <v>64</v>
      </c>
      <c r="E16" s="323">
        <v>1</v>
      </c>
      <c r="F16" s="285"/>
      <c r="G16" s="286"/>
      <c r="H16" s="286"/>
      <c r="I16" s="286"/>
      <c r="J16" s="286"/>
      <c r="K16" s="286"/>
      <c r="L16" s="286"/>
      <c r="M16" s="286"/>
      <c r="N16" s="286"/>
      <c r="O16" s="286"/>
      <c r="P16" s="286"/>
    </row>
    <row r="17" spans="1:16" ht="33.75" customHeight="1">
      <c r="A17" s="198">
        <v>6</v>
      </c>
      <c r="B17" s="200" t="s">
        <v>678</v>
      </c>
      <c r="C17" s="202" t="s">
        <v>679</v>
      </c>
      <c r="D17" s="202" t="s">
        <v>680</v>
      </c>
      <c r="E17" s="323">
        <v>1</v>
      </c>
      <c r="F17" s="285"/>
      <c r="G17" s="286"/>
      <c r="H17" s="286"/>
      <c r="I17" s="286"/>
      <c r="J17" s="286"/>
      <c r="K17" s="286"/>
      <c r="L17" s="286"/>
      <c r="M17" s="286"/>
      <c r="N17" s="286"/>
      <c r="O17" s="286"/>
      <c r="P17" s="286"/>
    </row>
    <row r="18" spans="1:16" s="189" customFormat="1" ht="33.75" customHeight="1">
      <c r="A18" s="198">
        <v>7</v>
      </c>
      <c r="B18" s="200"/>
      <c r="C18" s="330" t="s">
        <v>681</v>
      </c>
      <c r="D18" s="202"/>
      <c r="E18" s="323"/>
      <c r="F18" s="285"/>
      <c r="G18" s="286"/>
      <c r="H18" s="286"/>
      <c r="I18" s="286"/>
      <c r="J18" s="286"/>
      <c r="K18" s="286"/>
      <c r="L18" s="286"/>
      <c r="M18" s="286"/>
      <c r="N18" s="286"/>
      <c r="O18" s="286"/>
      <c r="P18" s="286"/>
    </row>
    <row r="19" spans="1:16" s="189" customFormat="1" ht="33.75" customHeight="1">
      <c r="A19" s="198">
        <v>8</v>
      </c>
      <c r="B19" s="200" t="s">
        <v>682</v>
      </c>
      <c r="C19" s="202" t="s">
        <v>671</v>
      </c>
      <c r="D19" s="202" t="s">
        <v>420</v>
      </c>
      <c r="E19" s="284">
        <v>77</v>
      </c>
      <c r="F19" s="285"/>
      <c r="G19" s="286"/>
      <c r="H19" s="286"/>
      <c r="I19" s="286"/>
      <c r="J19" s="286"/>
      <c r="K19" s="286"/>
      <c r="L19" s="286"/>
      <c r="M19" s="286"/>
      <c r="N19" s="286"/>
      <c r="O19" s="286"/>
      <c r="P19" s="286"/>
    </row>
    <row r="20" spans="1:16" s="189" customFormat="1" ht="33.75" customHeight="1">
      <c r="A20" s="198">
        <v>9</v>
      </c>
      <c r="B20" s="200" t="s">
        <v>683</v>
      </c>
      <c r="C20" s="64" t="s">
        <v>684</v>
      </c>
      <c r="D20" s="64" t="s">
        <v>420</v>
      </c>
      <c r="E20" s="323">
        <v>50</v>
      </c>
      <c r="F20" s="324"/>
      <c r="G20" s="286"/>
      <c r="H20" s="325"/>
      <c r="I20" s="325"/>
      <c r="J20" s="325"/>
      <c r="K20" s="325"/>
      <c r="L20" s="325"/>
      <c r="M20" s="325"/>
      <c r="N20" s="325"/>
      <c r="O20" s="325"/>
      <c r="P20" s="325"/>
    </row>
    <row r="21" spans="1:16" s="189" customFormat="1" ht="33.75" customHeight="1">
      <c r="A21" s="198">
        <v>10</v>
      </c>
      <c r="B21" s="200" t="s">
        <v>685</v>
      </c>
      <c r="C21" s="202" t="s">
        <v>686</v>
      </c>
      <c r="D21" s="202" t="s">
        <v>420</v>
      </c>
      <c r="E21" s="323">
        <v>80</v>
      </c>
      <c r="F21" s="285"/>
      <c r="G21" s="286"/>
      <c r="H21" s="286"/>
      <c r="I21" s="286"/>
      <c r="J21" s="286"/>
      <c r="K21" s="286"/>
      <c r="L21" s="286"/>
      <c r="M21" s="286"/>
      <c r="N21" s="286"/>
      <c r="O21" s="286"/>
      <c r="P21" s="286"/>
    </row>
    <row r="22" spans="1:16" s="189" customFormat="1" ht="33.75" customHeight="1">
      <c r="A22" s="198">
        <v>11</v>
      </c>
      <c r="B22" s="200" t="s">
        <v>687</v>
      </c>
      <c r="C22" s="202" t="s">
        <v>688</v>
      </c>
      <c r="D22" s="202" t="s">
        <v>64</v>
      </c>
      <c r="E22" s="284">
        <v>1</v>
      </c>
      <c r="F22" s="285"/>
      <c r="G22" s="286"/>
      <c r="H22" s="286"/>
      <c r="I22" s="286"/>
      <c r="J22" s="286"/>
      <c r="K22" s="286"/>
      <c r="L22" s="286"/>
      <c r="M22" s="286"/>
      <c r="N22" s="286"/>
      <c r="O22" s="286"/>
      <c r="P22" s="286"/>
    </row>
    <row r="23" spans="1:16" s="189" customFormat="1" ht="33.75" customHeight="1">
      <c r="A23" s="198">
        <v>12</v>
      </c>
      <c r="B23" s="200" t="s">
        <v>689</v>
      </c>
      <c r="C23" s="202" t="s">
        <v>690</v>
      </c>
      <c r="D23" s="202" t="s">
        <v>64</v>
      </c>
      <c r="E23" s="284">
        <v>2</v>
      </c>
      <c r="F23" s="285"/>
      <c r="G23" s="286"/>
      <c r="H23" s="286"/>
      <c r="I23" s="286"/>
      <c r="J23" s="286"/>
      <c r="K23" s="286"/>
      <c r="L23" s="286"/>
      <c r="M23" s="286"/>
      <c r="N23" s="286"/>
      <c r="O23" s="286"/>
      <c r="P23" s="286"/>
    </row>
    <row r="24" spans="1:16" s="189" customFormat="1" ht="33.75" customHeight="1">
      <c r="A24" s="198">
        <v>13</v>
      </c>
      <c r="B24" s="200" t="s">
        <v>691</v>
      </c>
      <c r="C24" s="202" t="s">
        <v>692</v>
      </c>
      <c r="D24" s="202" t="s">
        <v>64</v>
      </c>
      <c r="E24" s="323">
        <v>6</v>
      </c>
      <c r="F24" s="285"/>
      <c r="G24" s="286"/>
      <c r="H24" s="286"/>
      <c r="I24" s="286"/>
      <c r="J24" s="286"/>
      <c r="K24" s="286"/>
      <c r="L24" s="286"/>
      <c r="M24" s="286"/>
      <c r="N24" s="286"/>
      <c r="O24" s="286"/>
      <c r="P24" s="286"/>
    </row>
    <row r="25" spans="1:16" s="189" customFormat="1" ht="33.75" customHeight="1">
      <c r="A25" s="198">
        <v>14</v>
      </c>
      <c r="B25" s="200" t="s">
        <v>693</v>
      </c>
      <c r="C25" s="202" t="s">
        <v>694</v>
      </c>
      <c r="D25" s="202" t="s">
        <v>64</v>
      </c>
      <c r="E25" s="323">
        <v>1</v>
      </c>
      <c r="F25" s="285"/>
      <c r="G25" s="286"/>
      <c r="H25" s="286"/>
      <c r="I25" s="286"/>
      <c r="J25" s="286"/>
      <c r="K25" s="286"/>
      <c r="L25" s="286"/>
      <c r="M25" s="286"/>
      <c r="N25" s="286"/>
      <c r="O25" s="286"/>
      <c r="P25" s="286"/>
    </row>
    <row r="26" spans="1:16" s="189" customFormat="1" ht="33.75" customHeight="1">
      <c r="A26" s="198">
        <v>15</v>
      </c>
      <c r="B26" s="200" t="s">
        <v>695</v>
      </c>
      <c r="C26" s="331" t="s">
        <v>696</v>
      </c>
      <c r="D26" s="202" t="s">
        <v>64</v>
      </c>
      <c r="E26" s="323">
        <v>1</v>
      </c>
      <c r="F26" s="285"/>
      <c r="G26" s="286"/>
      <c r="H26" s="286"/>
      <c r="I26" s="286"/>
      <c r="J26" s="286"/>
      <c r="K26" s="286"/>
      <c r="L26" s="286"/>
      <c r="M26" s="286"/>
      <c r="N26" s="286"/>
      <c r="O26" s="286"/>
      <c r="P26" s="286"/>
    </row>
    <row r="27" spans="1:16" s="189" customFormat="1" ht="33.75" customHeight="1">
      <c r="A27" s="198">
        <v>16</v>
      </c>
      <c r="B27" s="200" t="s">
        <v>697</v>
      </c>
      <c r="C27" s="64" t="s">
        <v>698</v>
      </c>
      <c r="D27" s="64" t="s">
        <v>64</v>
      </c>
      <c r="E27" s="323">
        <v>8</v>
      </c>
      <c r="F27" s="324"/>
      <c r="G27" s="325"/>
      <c r="H27" s="325"/>
      <c r="I27" s="325"/>
      <c r="J27" s="325"/>
      <c r="K27" s="325"/>
      <c r="L27" s="325"/>
      <c r="M27" s="325"/>
      <c r="N27" s="325"/>
      <c r="O27" s="325"/>
      <c r="P27" s="325"/>
    </row>
    <row r="28" spans="1:16" s="189" customFormat="1" ht="49.5" customHeight="1">
      <c r="A28" s="198">
        <v>17</v>
      </c>
      <c r="B28" s="200" t="s">
        <v>699</v>
      </c>
      <c r="C28" s="332" t="s">
        <v>700</v>
      </c>
      <c r="D28" s="332" t="s">
        <v>483</v>
      </c>
      <c r="E28" s="333">
        <v>2</v>
      </c>
      <c r="F28" s="334"/>
      <c r="G28" s="329"/>
      <c r="H28" s="335"/>
      <c r="I28" s="335"/>
      <c r="J28" s="335"/>
      <c r="K28" s="335"/>
      <c r="L28" s="335"/>
      <c r="M28" s="335"/>
      <c r="N28" s="335"/>
      <c r="O28" s="335"/>
      <c r="P28" s="335"/>
    </row>
    <row r="29" spans="1:16" s="189" customFormat="1" ht="49.5" customHeight="1">
      <c r="A29" s="198">
        <v>18</v>
      </c>
      <c r="B29" s="200" t="s">
        <v>701</v>
      </c>
      <c r="C29" s="64" t="s">
        <v>702</v>
      </c>
      <c r="D29" s="64" t="s">
        <v>483</v>
      </c>
      <c r="E29" s="323">
        <v>1</v>
      </c>
      <c r="F29" s="324"/>
      <c r="G29" s="286"/>
      <c r="H29" s="325"/>
      <c r="I29" s="325"/>
      <c r="J29" s="325"/>
      <c r="K29" s="325"/>
      <c r="L29" s="325"/>
      <c r="M29" s="325"/>
      <c r="N29" s="325"/>
      <c r="O29" s="325"/>
      <c r="P29" s="325"/>
    </row>
    <row r="30" spans="1:16" s="189" customFormat="1" ht="33" customHeight="1">
      <c r="A30" s="198">
        <v>19</v>
      </c>
      <c r="B30" s="200" t="s">
        <v>703</v>
      </c>
      <c r="C30" s="202" t="s">
        <v>704</v>
      </c>
      <c r="D30" s="202" t="s">
        <v>64</v>
      </c>
      <c r="E30" s="284">
        <v>1</v>
      </c>
      <c r="F30" s="336"/>
      <c r="G30" s="286"/>
      <c r="H30" s="337"/>
      <c r="I30" s="337"/>
      <c r="J30" s="337"/>
      <c r="K30" s="286"/>
      <c r="L30" s="286"/>
      <c r="M30" s="286"/>
      <c r="N30" s="286"/>
      <c r="O30" s="286"/>
      <c r="P30" s="286"/>
    </row>
    <row r="31" spans="1:16" s="189" customFormat="1" ht="33" customHeight="1">
      <c r="A31" s="198">
        <v>20</v>
      </c>
      <c r="B31" s="200" t="s">
        <v>705</v>
      </c>
      <c r="C31" s="202" t="s">
        <v>706</v>
      </c>
      <c r="D31" s="202" t="s">
        <v>64</v>
      </c>
      <c r="E31" s="284">
        <v>1</v>
      </c>
      <c r="F31" s="336"/>
      <c r="G31" s="286"/>
      <c r="H31" s="337"/>
      <c r="I31" s="337"/>
      <c r="J31" s="337"/>
      <c r="K31" s="286"/>
      <c r="L31" s="286"/>
      <c r="M31" s="286"/>
      <c r="N31" s="286"/>
      <c r="O31" s="286"/>
      <c r="P31" s="286"/>
    </row>
    <row r="32" spans="1:16" s="189" customFormat="1" ht="33" customHeight="1">
      <c r="A32" s="198">
        <v>21</v>
      </c>
      <c r="B32" s="200" t="s">
        <v>707</v>
      </c>
      <c r="C32" s="202" t="s">
        <v>708</v>
      </c>
      <c r="D32" s="202" t="s">
        <v>64</v>
      </c>
      <c r="E32" s="323">
        <v>7</v>
      </c>
      <c r="F32" s="285"/>
      <c r="G32" s="286"/>
      <c r="H32" s="286"/>
      <c r="I32" s="286"/>
      <c r="J32" s="286"/>
      <c r="K32" s="286"/>
      <c r="L32" s="286"/>
      <c r="M32" s="286"/>
      <c r="N32" s="286"/>
      <c r="O32" s="286"/>
      <c r="P32" s="286"/>
    </row>
    <row r="33" spans="1:16" s="189" customFormat="1" ht="33" customHeight="1">
      <c r="A33" s="198">
        <v>22</v>
      </c>
      <c r="B33" s="200" t="s">
        <v>709</v>
      </c>
      <c r="C33" s="202" t="s">
        <v>677</v>
      </c>
      <c r="D33" s="202" t="s">
        <v>64</v>
      </c>
      <c r="E33" s="323">
        <v>3</v>
      </c>
      <c r="F33" s="285"/>
      <c r="G33" s="286"/>
      <c r="H33" s="286"/>
      <c r="I33" s="286"/>
      <c r="J33" s="286"/>
      <c r="K33" s="286"/>
      <c r="L33" s="286"/>
      <c r="M33" s="286"/>
      <c r="N33" s="286"/>
      <c r="O33" s="286"/>
      <c r="P33" s="286"/>
    </row>
    <row r="34" spans="1:16" s="189" customFormat="1" ht="33" customHeight="1">
      <c r="A34" s="198">
        <v>23</v>
      </c>
      <c r="B34" s="200" t="s">
        <v>710</v>
      </c>
      <c r="C34" s="202" t="s">
        <v>711</v>
      </c>
      <c r="D34" s="202" t="s">
        <v>64</v>
      </c>
      <c r="E34" s="323">
        <v>2</v>
      </c>
      <c r="F34" s="285"/>
      <c r="G34" s="286"/>
      <c r="H34" s="286"/>
      <c r="I34" s="286"/>
      <c r="J34" s="286"/>
      <c r="K34" s="286"/>
      <c r="L34" s="286"/>
      <c r="M34" s="286"/>
      <c r="N34" s="286"/>
      <c r="O34" s="286"/>
      <c r="P34" s="286"/>
    </row>
    <row r="35" spans="1:16" s="189" customFormat="1" ht="33" customHeight="1">
      <c r="A35" s="198">
        <v>24</v>
      </c>
      <c r="B35" s="200" t="s">
        <v>712</v>
      </c>
      <c r="C35" s="326" t="s">
        <v>713</v>
      </c>
      <c r="D35" s="326" t="s">
        <v>65</v>
      </c>
      <c r="E35" s="327">
        <v>30</v>
      </c>
      <c r="F35" s="328"/>
      <c r="G35" s="286"/>
      <c r="H35" s="329"/>
      <c r="I35" s="329"/>
      <c r="J35" s="329"/>
      <c r="K35" s="329"/>
      <c r="L35" s="329"/>
      <c r="M35" s="329"/>
      <c r="N35" s="329"/>
      <c r="O35" s="329"/>
      <c r="P35" s="329"/>
    </row>
    <row r="36" spans="1:16" s="189" customFormat="1" ht="33" customHeight="1">
      <c r="A36" s="198">
        <v>25</v>
      </c>
      <c r="B36" s="200" t="s">
        <v>714</v>
      </c>
      <c r="C36" s="326" t="s">
        <v>715</v>
      </c>
      <c r="D36" s="326" t="s">
        <v>65</v>
      </c>
      <c r="E36" s="327">
        <v>25</v>
      </c>
      <c r="F36" s="328"/>
      <c r="G36" s="286"/>
      <c r="H36" s="329"/>
      <c r="I36" s="329"/>
      <c r="J36" s="329"/>
      <c r="K36" s="329"/>
      <c r="L36" s="329"/>
      <c r="M36" s="329"/>
      <c r="N36" s="329"/>
      <c r="O36" s="329"/>
      <c r="P36" s="329"/>
    </row>
    <row r="37" spans="1:16" s="189" customFormat="1" ht="33" customHeight="1">
      <c r="A37" s="198">
        <v>26</v>
      </c>
      <c r="B37" s="200" t="s">
        <v>716</v>
      </c>
      <c r="C37" s="326" t="s">
        <v>675</v>
      </c>
      <c r="D37" s="326" t="s">
        <v>65</v>
      </c>
      <c r="E37" s="327">
        <v>40</v>
      </c>
      <c r="F37" s="328"/>
      <c r="G37" s="286"/>
      <c r="H37" s="329"/>
      <c r="I37" s="329"/>
      <c r="J37" s="329"/>
      <c r="K37" s="329"/>
      <c r="L37" s="329"/>
      <c r="M37" s="329"/>
      <c r="N37" s="329"/>
      <c r="O37" s="329"/>
      <c r="P37" s="329"/>
    </row>
    <row r="38" spans="1:16" s="189" customFormat="1" ht="33" customHeight="1">
      <c r="A38" s="198">
        <v>27</v>
      </c>
      <c r="B38" s="200" t="s">
        <v>717</v>
      </c>
      <c r="C38" s="202" t="s">
        <v>718</v>
      </c>
      <c r="D38" s="326" t="s">
        <v>65</v>
      </c>
      <c r="E38" s="338">
        <v>2</v>
      </c>
      <c r="F38" s="324"/>
      <c r="G38" s="286"/>
      <c r="H38" s="325"/>
      <c r="I38" s="325"/>
      <c r="J38" s="325"/>
      <c r="K38" s="325"/>
      <c r="L38" s="325"/>
      <c r="M38" s="325"/>
      <c r="N38" s="325"/>
      <c r="O38" s="325"/>
      <c r="P38" s="325"/>
    </row>
    <row r="39" spans="1:16" s="189" customFormat="1" ht="33" customHeight="1">
      <c r="A39" s="198">
        <v>28</v>
      </c>
      <c r="B39" s="200"/>
      <c r="C39" s="330" t="s">
        <v>719</v>
      </c>
      <c r="D39" s="202"/>
      <c r="E39" s="284"/>
      <c r="F39" s="285"/>
      <c r="G39" s="286"/>
      <c r="H39" s="286"/>
      <c r="I39" s="286"/>
      <c r="J39" s="286"/>
      <c r="K39" s="286"/>
      <c r="L39" s="286"/>
      <c r="M39" s="286"/>
      <c r="N39" s="286"/>
      <c r="O39" s="286"/>
      <c r="P39" s="286"/>
    </row>
    <row r="40" spans="1:16" s="189" customFormat="1" ht="33" customHeight="1">
      <c r="A40" s="198">
        <v>29</v>
      </c>
      <c r="B40" s="200" t="s">
        <v>720</v>
      </c>
      <c r="C40" s="202" t="s">
        <v>721</v>
      </c>
      <c r="D40" s="202" t="s">
        <v>369</v>
      </c>
      <c r="E40" s="284">
        <v>170</v>
      </c>
      <c r="F40" s="285"/>
      <c r="G40" s="286"/>
      <c r="H40" s="286"/>
      <c r="I40" s="286"/>
      <c r="J40" s="286"/>
      <c r="K40" s="286"/>
      <c r="L40" s="286"/>
      <c r="M40" s="286"/>
      <c r="N40" s="286"/>
      <c r="O40" s="286"/>
      <c r="P40" s="286"/>
    </row>
    <row r="41" spans="1:18" s="189" customFormat="1" ht="33" customHeight="1">
      <c r="A41" s="339"/>
      <c r="B41" s="339"/>
      <c r="C41" s="339" t="s">
        <v>7</v>
      </c>
      <c r="D41" s="339"/>
      <c r="E41" s="339"/>
      <c r="F41" s="339"/>
      <c r="G41" s="339"/>
      <c r="H41" s="339"/>
      <c r="I41" s="339"/>
      <c r="J41" s="339"/>
      <c r="K41" s="339"/>
      <c r="L41" s="340"/>
      <c r="M41" s="340"/>
      <c r="N41" s="340"/>
      <c r="O41" s="340"/>
      <c r="P41" s="340"/>
      <c r="R41" s="341"/>
    </row>
    <row r="42" spans="1:16" s="189" customFormat="1" ht="30" customHeight="1">
      <c r="A42" s="342"/>
      <c r="B42" s="342"/>
      <c r="C42" s="458" t="s">
        <v>849</v>
      </c>
      <c r="D42" s="458"/>
      <c r="E42" s="458"/>
      <c r="F42" s="458"/>
      <c r="G42" s="458"/>
      <c r="H42" s="458"/>
      <c r="I42" s="458"/>
      <c r="J42" s="458"/>
      <c r="K42" s="458"/>
      <c r="L42" s="343"/>
      <c r="M42" s="343"/>
      <c r="N42" s="343"/>
      <c r="O42" s="343"/>
      <c r="P42" s="344"/>
    </row>
    <row r="43" spans="1:18" s="189" customFormat="1" ht="30" customHeight="1">
      <c r="A43" s="342"/>
      <c r="B43" s="342"/>
      <c r="C43" s="459" t="s">
        <v>71</v>
      </c>
      <c r="D43" s="459"/>
      <c r="E43" s="459"/>
      <c r="F43" s="459"/>
      <c r="G43" s="459"/>
      <c r="H43" s="459"/>
      <c r="I43" s="459"/>
      <c r="J43" s="459"/>
      <c r="K43" s="459"/>
      <c r="L43" s="343"/>
      <c r="M43" s="343"/>
      <c r="N43" s="343"/>
      <c r="O43" s="343"/>
      <c r="P43" s="344"/>
      <c r="R43" s="345"/>
    </row>
    <row r="44" spans="1:16" ht="12.75">
      <c r="A44" s="346"/>
      <c r="B44" s="347"/>
      <c r="C44" s="346"/>
      <c r="D44" s="215"/>
      <c r="E44" s="348"/>
      <c r="F44" s="348"/>
      <c r="G44" s="348"/>
      <c r="H44" s="227"/>
      <c r="I44" s="227"/>
      <c r="J44" s="348"/>
      <c r="K44" s="348"/>
      <c r="L44" s="348"/>
      <c r="M44" s="348"/>
      <c r="N44" s="348"/>
      <c r="O44" s="348"/>
      <c r="P44" s="348"/>
    </row>
    <row r="45" spans="1:16" ht="12.75">
      <c r="A45" s="346"/>
      <c r="B45" s="347"/>
      <c r="C45" s="346"/>
      <c r="D45" s="215"/>
      <c r="E45" s="348"/>
      <c r="F45" s="348"/>
      <c r="G45" s="348"/>
      <c r="H45" s="227"/>
      <c r="I45" s="227"/>
      <c r="J45" s="348"/>
      <c r="K45" s="348"/>
      <c r="L45" s="348"/>
      <c r="M45" s="348"/>
      <c r="N45" s="348"/>
      <c r="O45" s="348"/>
      <c r="P45" s="348"/>
    </row>
    <row r="46" spans="1:16" ht="12.75">
      <c r="A46" s="346"/>
      <c r="B46" s="347"/>
      <c r="C46" s="346"/>
      <c r="D46" s="215"/>
      <c r="E46" s="348"/>
      <c r="F46" s="348"/>
      <c r="G46" s="348"/>
      <c r="H46" s="227"/>
      <c r="I46" s="227"/>
      <c r="J46" s="348"/>
      <c r="K46" s="348"/>
      <c r="L46" s="348"/>
      <c r="M46" s="348"/>
      <c r="N46" s="348"/>
      <c r="O46" s="348"/>
      <c r="P46" s="348"/>
    </row>
    <row r="47" spans="1:16" s="189" customFormat="1" ht="15">
      <c r="A47" s="454" t="s">
        <v>9</v>
      </c>
      <c r="B47" s="454"/>
      <c r="C47" s="350"/>
      <c r="E47" s="350">
        <f>'1-1 (1)'!E21</f>
        <v>0</v>
      </c>
      <c r="F47" s="351"/>
      <c r="G47" s="351"/>
      <c r="H47" s="352"/>
      <c r="I47" s="455" t="s">
        <v>72</v>
      </c>
      <c r="J47" s="455"/>
      <c r="K47" s="351"/>
      <c r="L47" s="351"/>
      <c r="M47" s="351"/>
      <c r="N47" s="350">
        <f>'1-1 (1)'!N21</f>
        <v>0</v>
      </c>
      <c r="O47" s="351"/>
      <c r="P47" s="351"/>
    </row>
    <row r="48" spans="1:16" s="189" customFormat="1" ht="15">
      <c r="A48" s="222"/>
      <c r="B48" s="222"/>
      <c r="C48" s="435" t="s">
        <v>10</v>
      </c>
      <c r="D48" s="435"/>
      <c r="E48" s="435"/>
      <c r="F48" s="435"/>
      <c r="G48" s="435"/>
      <c r="K48" s="436" t="s">
        <v>10</v>
      </c>
      <c r="L48" s="436"/>
      <c r="M48" s="436"/>
      <c r="N48" s="436"/>
      <c r="O48" s="436"/>
      <c r="P48" s="436"/>
    </row>
    <row r="49" spans="1:16" s="189" customFormat="1" ht="15">
      <c r="A49" s="222"/>
      <c r="B49" s="222"/>
      <c r="C49" s="222"/>
      <c r="D49" s="222"/>
      <c r="E49" s="349"/>
      <c r="F49" s="349"/>
      <c r="G49" s="349"/>
      <c r="J49" s="349"/>
      <c r="K49" s="349"/>
      <c r="L49" s="349"/>
      <c r="M49" s="349"/>
      <c r="N49" s="349"/>
      <c r="O49" s="349"/>
      <c r="P49" s="349"/>
    </row>
    <row r="50" spans="1:16" s="189" customFormat="1" ht="15.75">
      <c r="A50" s="353"/>
      <c r="B50" s="222"/>
      <c r="C50" s="353"/>
      <c r="D50" s="222"/>
      <c r="E50" s="349"/>
      <c r="F50" s="349"/>
      <c r="G50" s="349"/>
      <c r="I50" s="454" t="s">
        <v>11</v>
      </c>
      <c r="J50" s="454"/>
      <c r="K50" s="350">
        <f>'1-1 (1)'!K24</f>
        <v>0</v>
      </c>
      <c r="L50" s="349"/>
      <c r="M50" s="349"/>
      <c r="N50" s="349"/>
      <c r="O50" s="349"/>
      <c r="P50" s="349"/>
    </row>
    <row r="51" spans="1:16" ht="12.75">
      <c r="A51" s="346"/>
      <c r="B51" s="347"/>
      <c r="C51" s="346"/>
      <c r="D51" s="215"/>
      <c r="E51" s="348"/>
      <c r="F51" s="348"/>
      <c r="G51" s="348"/>
      <c r="H51" s="227"/>
      <c r="I51" s="227"/>
      <c r="J51" s="348"/>
      <c r="K51" s="348"/>
      <c r="L51" s="348"/>
      <c r="M51" s="348"/>
      <c r="N51" s="348"/>
      <c r="O51" s="348"/>
      <c r="P51" s="348"/>
    </row>
    <row r="52" spans="1:16" ht="12.75">
      <c r="A52" s="346"/>
      <c r="B52" s="347"/>
      <c r="C52" s="346"/>
      <c r="D52" s="215"/>
      <c r="E52" s="348"/>
      <c r="F52" s="348"/>
      <c r="G52" s="348"/>
      <c r="H52" s="227"/>
      <c r="I52" s="227"/>
      <c r="J52" s="348"/>
      <c r="K52" s="348"/>
      <c r="L52" s="348"/>
      <c r="M52" s="348"/>
      <c r="N52" s="348"/>
      <c r="O52" s="348"/>
      <c r="P52" s="348"/>
    </row>
    <row r="53" spans="1:16" ht="12.75">
      <c r="A53" s="346"/>
      <c r="B53" s="347"/>
      <c r="C53" s="346"/>
      <c r="D53" s="215"/>
      <c r="E53" s="348"/>
      <c r="F53" s="348"/>
      <c r="G53" s="348"/>
      <c r="H53" s="227"/>
      <c r="I53" s="227"/>
      <c r="J53" s="348"/>
      <c r="K53" s="348"/>
      <c r="L53" s="348"/>
      <c r="M53" s="348"/>
      <c r="N53" s="348"/>
      <c r="O53" s="348"/>
      <c r="P53" s="348"/>
    </row>
    <row r="54" spans="1:16" ht="12.75">
      <c r="A54" s="346"/>
      <c r="B54" s="347"/>
      <c r="C54" s="346"/>
      <c r="D54" s="215"/>
      <c r="E54" s="348"/>
      <c r="F54" s="348"/>
      <c r="G54" s="348"/>
      <c r="H54" s="227"/>
      <c r="I54" s="227"/>
      <c r="J54" s="348"/>
      <c r="K54" s="348"/>
      <c r="L54" s="348"/>
      <c r="M54" s="348"/>
      <c r="N54" s="348"/>
      <c r="O54" s="348"/>
      <c r="P54" s="348"/>
    </row>
    <row r="55" spans="1:16" ht="12.75">
      <c r="A55" s="346"/>
      <c r="B55" s="347"/>
      <c r="C55" s="346"/>
      <c r="D55" s="215"/>
      <c r="E55" s="348"/>
      <c r="F55" s="348"/>
      <c r="G55" s="348"/>
      <c r="H55" s="227"/>
      <c r="I55" s="227"/>
      <c r="J55" s="348"/>
      <c r="K55" s="348"/>
      <c r="L55" s="348"/>
      <c r="M55" s="348"/>
      <c r="N55" s="348"/>
      <c r="O55" s="348"/>
      <c r="P55" s="348"/>
    </row>
    <row r="56" spans="1:16" ht="12.75">
      <c r="A56" s="346"/>
      <c r="B56" s="347"/>
      <c r="C56" s="346"/>
      <c r="D56" s="215"/>
      <c r="E56" s="348"/>
      <c r="F56" s="348"/>
      <c r="G56" s="348"/>
      <c r="H56" s="227"/>
      <c r="I56" s="227"/>
      <c r="J56" s="348"/>
      <c r="K56" s="348"/>
      <c r="L56" s="348"/>
      <c r="M56" s="348"/>
      <c r="N56" s="348"/>
      <c r="O56" s="348"/>
      <c r="P56" s="348"/>
    </row>
    <row r="57" spans="1:16" ht="12.75">
      <c r="A57" s="346"/>
      <c r="B57" s="347"/>
      <c r="C57" s="346"/>
      <c r="D57" s="215"/>
      <c r="E57" s="348"/>
      <c r="F57" s="348"/>
      <c r="G57" s="348"/>
      <c r="H57" s="227"/>
      <c r="I57" s="227"/>
      <c r="J57" s="348"/>
      <c r="K57" s="348"/>
      <c r="L57" s="348"/>
      <c r="M57" s="348"/>
      <c r="N57" s="348"/>
      <c r="O57" s="348"/>
      <c r="P57" s="348"/>
    </row>
    <row r="58" spans="1:16" ht="12.75">
      <c r="A58" s="346"/>
      <c r="B58" s="347"/>
      <c r="C58" s="346"/>
      <c r="D58" s="215"/>
      <c r="E58" s="348"/>
      <c r="F58" s="348"/>
      <c r="G58" s="348"/>
      <c r="H58" s="227"/>
      <c r="I58" s="227"/>
      <c r="J58" s="348"/>
      <c r="K58" s="348"/>
      <c r="L58" s="348"/>
      <c r="M58" s="348"/>
      <c r="N58" s="348"/>
      <c r="O58" s="348"/>
      <c r="P58" s="348"/>
    </row>
    <row r="59" spans="1:16" ht="12.75">
      <c r="A59" s="346"/>
      <c r="B59" s="347"/>
      <c r="C59" s="346"/>
      <c r="D59" s="215"/>
      <c r="E59" s="348"/>
      <c r="F59" s="348"/>
      <c r="G59" s="348"/>
      <c r="H59" s="227"/>
      <c r="I59" s="227"/>
      <c r="J59" s="348"/>
      <c r="K59" s="348"/>
      <c r="L59" s="348"/>
      <c r="M59" s="348"/>
      <c r="N59" s="348"/>
      <c r="O59" s="348"/>
      <c r="P59" s="348"/>
    </row>
    <row r="60" spans="1:16" ht="12.75">
      <c r="A60" s="346"/>
      <c r="B60" s="347"/>
      <c r="C60" s="346"/>
      <c r="D60" s="215"/>
      <c r="E60" s="348"/>
      <c r="F60" s="348"/>
      <c r="G60" s="348"/>
      <c r="H60" s="227"/>
      <c r="I60" s="227"/>
      <c r="J60" s="348"/>
      <c r="K60" s="348"/>
      <c r="L60" s="348"/>
      <c r="M60" s="348"/>
      <c r="N60" s="348"/>
      <c r="O60" s="348"/>
      <c r="P60" s="348"/>
    </row>
    <row r="61" spans="1:16" ht="12.75">
      <c r="A61" s="346"/>
      <c r="B61" s="347"/>
      <c r="C61" s="346"/>
      <c r="D61" s="215"/>
      <c r="E61" s="348"/>
      <c r="F61" s="348"/>
      <c r="G61" s="348"/>
      <c r="H61" s="227"/>
      <c r="I61" s="227"/>
      <c r="J61" s="348"/>
      <c r="K61" s="348"/>
      <c r="L61" s="348"/>
      <c r="M61" s="348"/>
      <c r="N61" s="348"/>
      <c r="O61" s="348"/>
      <c r="P61" s="348"/>
    </row>
    <row r="62" spans="1:16" ht="12.75">
      <c r="A62" s="346"/>
      <c r="B62" s="347"/>
      <c r="C62" s="346"/>
      <c r="D62" s="215"/>
      <c r="E62" s="348"/>
      <c r="F62" s="348"/>
      <c r="G62" s="348"/>
      <c r="H62" s="227"/>
      <c r="I62" s="227"/>
      <c r="J62" s="348"/>
      <c r="K62" s="348"/>
      <c r="L62" s="348"/>
      <c r="M62" s="348"/>
      <c r="N62" s="348"/>
      <c r="O62" s="348"/>
      <c r="P62" s="348"/>
    </row>
    <row r="63" spans="1:16" ht="12.75">
      <c r="A63" s="346"/>
      <c r="B63" s="347"/>
      <c r="C63" s="346"/>
      <c r="D63" s="215"/>
      <c r="E63" s="348"/>
      <c r="F63" s="348"/>
      <c r="G63" s="348"/>
      <c r="H63" s="227"/>
      <c r="I63" s="227"/>
      <c r="J63" s="348"/>
      <c r="K63" s="348"/>
      <c r="L63" s="348"/>
      <c r="M63" s="348"/>
      <c r="N63" s="348"/>
      <c r="O63" s="348"/>
      <c r="P63" s="348"/>
    </row>
    <row r="64" spans="1:16" ht="12.75">
      <c r="A64" s="346"/>
      <c r="B64" s="347"/>
      <c r="C64" s="346"/>
      <c r="D64" s="215"/>
      <c r="E64" s="348"/>
      <c r="F64" s="348"/>
      <c r="G64" s="348"/>
      <c r="H64" s="227"/>
      <c r="I64" s="227"/>
      <c r="J64" s="348"/>
      <c r="K64" s="348"/>
      <c r="L64" s="348"/>
      <c r="M64" s="348"/>
      <c r="N64" s="348"/>
      <c r="O64" s="348"/>
      <c r="P64" s="348"/>
    </row>
    <row r="65" spans="1:16" ht="12.75">
      <c r="A65" s="346"/>
      <c r="B65" s="347"/>
      <c r="C65" s="346"/>
      <c r="D65" s="215"/>
      <c r="E65" s="348"/>
      <c r="F65" s="348"/>
      <c r="G65" s="348"/>
      <c r="H65" s="227"/>
      <c r="I65" s="227"/>
      <c r="J65" s="348"/>
      <c r="K65" s="348"/>
      <c r="L65" s="348"/>
      <c r="M65" s="348"/>
      <c r="N65" s="348"/>
      <c r="O65" s="348"/>
      <c r="P65" s="348"/>
    </row>
    <row r="66" spans="1:16" ht="12.75">
      <c r="A66" s="346"/>
      <c r="B66" s="347"/>
      <c r="C66" s="346"/>
      <c r="D66" s="215"/>
      <c r="E66" s="348"/>
      <c r="F66" s="348"/>
      <c r="G66" s="348"/>
      <c r="H66" s="227"/>
      <c r="I66" s="227"/>
      <c r="J66" s="348"/>
      <c r="K66" s="348"/>
      <c r="L66" s="348"/>
      <c r="M66" s="348"/>
      <c r="N66" s="348"/>
      <c r="O66" s="348"/>
      <c r="P66" s="348"/>
    </row>
    <row r="67" spans="1:16" ht="12.75">
      <c r="A67" s="346"/>
      <c r="B67" s="347"/>
      <c r="C67" s="346"/>
      <c r="D67" s="215"/>
      <c r="E67" s="348"/>
      <c r="F67" s="348"/>
      <c r="G67" s="348"/>
      <c r="H67" s="227"/>
      <c r="I67" s="227"/>
      <c r="J67" s="348"/>
      <c r="K67" s="348"/>
      <c r="L67" s="348"/>
      <c r="M67" s="348"/>
      <c r="N67" s="348"/>
      <c r="O67" s="348"/>
      <c r="P67" s="348"/>
    </row>
    <row r="68" spans="1:16" ht="12.75">
      <c r="A68" s="346"/>
      <c r="B68" s="347"/>
      <c r="C68" s="346"/>
      <c r="D68" s="215"/>
      <c r="E68" s="348"/>
      <c r="F68" s="348"/>
      <c r="G68" s="348"/>
      <c r="H68" s="227"/>
      <c r="I68" s="227"/>
      <c r="J68" s="348"/>
      <c r="K68" s="348"/>
      <c r="L68" s="348"/>
      <c r="M68" s="348"/>
      <c r="N68" s="348"/>
      <c r="O68" s="348"/>
      <c r="P68" s="348"/>
    </row>
    <row r="69" spans="1:16" ht="12.75">
      <c r="A69" s="346"/>
      <c r="B69" s="347"/>
      <c r="C69" s="346"/>
      <c r="D69" s="215"/>
      <c r="E69" s="348"/>
      <c r="F69" s="348"/>
      <c r="G69" s="348"/>
      <c r="H69" s="227"/>
      <c r="I69" s="227"/>
      <c r="J69" s="348"/>
      <c r="K69" s="348"/>
      <c r="L69" s="348"/>
      <c r="M69" s="348"/>
      <c r="N69" s="348"/>
      <c r="O69" s="348"/>
      <c r="P69" s="348"/>
    </row>
    <row r="70" spans="1:16" ht="12.75">
      <c r="A70" s="346"/>
      <c r="B70" s="347"/>
      <c r="C70" s="346"/>
      <c r="D70" s="215"/>
      <c r="E70" s="348"/>
      <c r="F70" s="348"/>
      <c r="G70" s="348"/>
      <c r="H70" s="227"/>
      <c r="I70" s="227"/>
      <c r="J70" s="348"/>
      <c r="K70" s="348"/>
      <c r="L70" s="348"/>
      <c r="M70" s="348"/>
      <c r="N70" s="348"/>
      <c r="O70" s="348"/>
      <c r="P70" s="348"/>
    </row>
    <row r="71" spans="1:16" ht="12.75">
      <c r="A71" s="346"/>
      <c r="B71" s="347"/>
      <c r="C71" s="346"/>
      <c r="D71" s="215"/>
      <c r="E71" s="348"/>
      <c r="F71" s="348"/>
      <c r="G71" s="348"/>
      <c r="H71" s="227"/>
      <c r="I71" s="227"/>
      <c r="J71" s="348"/>
      <c r="K71" s="348"/>
      <c r="L71" s="348"/>
      <c r="M71" s="348"/>
      <c r="N71" s="348"/>
      <c r="O71" s="348"/>
      <c r="P71" s="348"/>
    </row>
    <row r="72" spans="1:16" ht="12.75">
      <c r="A72" s="346"/>
      <c r="B72" s="347"/>
      <c r="C72" s="346"/>
      <c r="D72" s="215"/>
      <c r="E72" s="348"/>
      <c r="F72" s="348"/>
      <c r="G72" s="348"/>
      <c r="H72" s="227"/>
      <c r="I72" s="227"/>
      <c r="J72" s="348"/>
      <c r="K72" s="348"/>
      <c r="L72" s="348"/>
      <c r="M72" s="348"/>
      <c r="N72" s="348"/>
      <c r="O72" s="348"/>
      <c r="P72" s="348"/>
    </row>
    <row r="73" spans="1:16" ht="12.75">
      <c r="A73" s="346"/>
      <c r="B73" s="347"/>
      <c r="C73" s="346"/>
      <c r="D73" s="215"/>
      <c r="E73" s="348"/>
      <c r="F73" s="348"/>
      <c r="G73" s="348"/>
      <c r="H73" s="227"/>
      <c r="I73" s="227"/>
      <c r="J73" s="348"/>
      <c r="K73" s="348"/>
      <c r="L73" s="348"/>
      <c r="M73" s="348"/>
      <c r="N73" s="348"/>
      <c r="O73" s="348"/>
      <c r="P73" s="348"/>
    </row>
    <row r="74" spans="1:16" ht="12.75">
      <c r="A74" s="346"/>
      <c r="B74" s="347"/>
      <c r="C74" s="346"/>
      <c r="D74" s="215"/>
      <c r="E74" s="348"/>
      <c r="F74" s="348"/>
      <c r="G74" s="348"/>
      <c r="H74" s="227"/>
      <c r="I74" s="227"/>
      <c r="J74" s="348"/>
      <c r="K74" s="348"/>
      <c r="L74" s="348"/>
      <c r="M74" s="348"/>
      <c r="N74" s="348"/>
      <c r="O74" s="348"/>
      <c r="P74" s="348"/>
    </row>
    <row r="75" spans="1:16" ht="12.75">
      <c r="A75" s="346"/>
      <c r="B75" s="347"/>
      <c r="C75" s="346"/>
      <c r="D75" s="215"/>
      <c r="E75" s="348"/>
      <c r="F75" s="348"/>
      <c r="G75" s="348"/>
      <c r="H75" s="227"/>
      <c r="I75" s="227"/>
      <c r="J75" s="348"/>
      <c r="K75" s="348"/>
      <c r="L75" s="348"/>
      <c r="M75" s="348"/>
      <c r="N75" s="348"/>
      <c r="O75" s="348"/>
      <c r="P75" s="348"/>
    </row>
    <row r="76" spans="1:16" ht="12.75">
      <c r="A76" s="346"/>
      <c r="B76" s="347"/>
      <c r="C76" s="346"/>
      <c r="D76" s="215"/>
      <c r="E76" s="348"/>
      <c r="F76" s="348"/>
      <c r="G76" s="348"/>
      <c r="H76" s="227"/>
      <c r="I76" s="227"/>
      <c r="J76" s="348"/>
      <c r="K76" s="348"/>
      <c r="L76" s="348"/>
      <c r="M76" s="348"/>
      <c r="N76" s="348"/>
      <c r="O76" s="348"/>
      <c r="P76" s="348"/>
    </row>
    <row r="77" spans="1:16" ht="12.75">
      <c r="A77" s="346"/>
      <c r="B77" s="347"/>
      <c r="C77" s="346"/>
      <c r="D77" s="215"/>
      <c r="E77" s="348"/>
      <c r="F77" s="348"/>
      <c r="G77" s="348"/>
      <c r="H77" s="227"/>
      <c r="I77" s="227"/>
      <c r="J77" s="348"/>
      <c r="K77" s="348"/>
      <c r="L77" s="348"/>
      <c r="M77" s="348"/>
      <c r="N77" s="348"/>
      <c r="O77" s="348"/>
      <c r="P77" s="348"/>
    </row>
    <row r="78" spans="1:16" ht="12.75">
      <c r="A78" s="346"/>
      <c r="B78" s="347"/>
      <c r="C78" s="346"/>
      <c r="D78" s="215"/>
      <c r="E78" s="348"/>
      <c r="F78" s="348"/>
      <c r="G78" s="348"/>
      <c r="H78" s="227"/>
      <c r="I78" s="227"/>
      <c r="J78" s="348"/>
      <c r="K78" s="348"/>
      <c r="L78" s="348"/>
      <c r="M78" s="348"/>
      <c r="N78" s="348"/>
      <c r="O78" s="348"/>
      <c r="P78" s="348"/>
    </row>
    <row r="79" spans="1:16" ht="12.75">
      <c r="A79" s="346"/>
      <c r="B79" s="347"/>
      <c r="C79" s="346"/>
      <c r="D79" s="215"/>
      <c r="E79" s="348"/>
      <c r="F79" s="348"/>
      <c r="G79" s="348"/>
      <c r="H79" s="227"/>
      <c r="I79" s="227"/>
      <c r="J79" s="348"/>
      <c r="K79" s="348"/>
      <c r="L79" s="348"/>
      <c r="M79" s="348"/>
      <c r="N79" s="348"/>
      <c r="O79" s="348"/>
      <c r="P79" s="348"/>
    </row>
    <row r="80" spans="1:16" ht="12.75">
      <c r="A80" s="346"/>
      <c r="B80" s="347"/>
      <c r="C80" s="346"/>
      <c r="D80" s="215"/>
      <c r="E80" s="348"/>
      <c r="F80" s="348"/>
      <c r="G80" s="348"/>
      <c r="H80" s="227"/>
      <c r="I80" s="227"/>
      <c r="J80" s="348"/>
      <c r="K80" s="348"/>
      <c r="L80" s="348"/>
      <c r="M80" s="348"/>
      <c r="N80" s="348"/>
      <c r="O80" s="348"/>
      <c r="P80" s="348"/>
    </row>
    <row r="81" spans="1:16" ht="12.75">
      <c r="A81" s="346"/>
      <c r="B81" s="347"/>
      <c r="C81" s="346"/>
      <c r="D81" s="215"/>
      <c r="E81" s="348"/>
      <c r="F81" s="348"/>
      <c r="G81" s="348"/>
      <c r="H81" s="227"/>
      <c r="I81" s="227"/>
      <c r="J81" s="348"/>
      <c r="K81" s="348"/>
      <c r="L81" s="348"/>
      <c r="M81" s="348"/>
      <c r="N81" s="348"/>
      <c r="O81" s="348"/>
      <c r="P81" s="348"/>
    </row>
    <row r="82" spans="1:16" ht="12.75">
      <c r="A82" s="346"/>
      <c r="B82" s="347"/>
      <c r="C82" s="346"/>
      <c r="D82" s="215"/>
      <c r="E82" s="348"/>
      <c r="F82" s="348"/>
      <c r="G82" s="348"/>
      <c r="H82" s="227"/>
      <c r="I82" s="227"/>
      <c r="J82" s="348"/>
      <c r="K82" s="348"/>
      <c r="L82" s="348"/>
      <c r="M82" s="348"/>
      <c r="N82" s="348"/>
      <c r="O82" s="348"/>
      <c r="P82" s="348"/>
    </row>
    <row r="83" spans="1:16" ht="12.75">
      <c r="A83" s="346"/>
      <c r="B83" s="347"/>
      <c r="C83" s="346"/>
      <c r="D83" s="215"/>
      <c r="E83" s="348"/>
      <c r="F83" s="348"/>
      <c r="G83" s="348"/>
      <c r="H83" s="227"/>
      <c r="I83" s="227"/>
      <c r="J83" s="348"/>
      <c r="K83" s="348"/>
      <c r="L83" s="348"/>
      <c r="M83" s="348"/>
      <c r="N83" s="348"/>
      <c r="O83" s="348"/>
      <c r="P83" s="348"/>
    </row>
    <row r="84" spans="1:16" ht="12.75">
      <c r="A84" s="346"/>
      <c r="B84" s="347"/>
      <c r="C84" s="346"/>
      <c r="D84" s="215"/>
      <c r="E84" s="348"/>
      <c r="F84" s="348"/>
      <c r="G84" s="348"/>
      <c r="H84" s="227"/>
      <c r="I84" s="227"/>
      <c r="J84" s="348"/>
      <c r="K84" s="348"/>
      <c r="L84" s="348"/>
      <c r="M84" s="348"/>
      <c r="N84" s="348"/>
      <c r="O84" s="348"/>
      <c r="P84" s="348"/>
    </row>
    <row r="85" spans="1:16" ht="12.75">
      <c r="A85" s="346"/>
      <c r="B85" s="347"/>
      <c r="C85" s="346"/>
      <c r="D85" s="215"/>
      <c r="E85" s="348"/>
      <c r="F85" s="348"/>
      <c r="G85" s="348"/>
      <c r="H85" s="227"/>
      <c r="I85" s="227"/>
      <c r="J85" s="348"/>
      <c r="K85" s="348"/>
      <c r="L85" s="348"/>
      <c r="M85" s="348"/>
      <c r="N85" s="348"/>
      <c r="O85" s="348"/>
      <c r="P85" s="348"/>
    </row>
    <row r="86" spans="1:16" ht="12.75">
      <c r="A86" s="346"/>
      <c r="B86" s="347"/>
      <c r="C86" s="346"/>
      <c r="D86" s="215"/>
      <c r="E86" s="348"/>
      <c r="F86" s="348"/>
      <c r="G86" s="348"/>
      <c r="H86" s="227"/>
      <c r="I86" s="227"/>
      <c r="J86" s="348"/>
      <c r="K86" s="348"/>
      <c r="L86" s="348"/>
      <c r="M86" s="348"/>
      <c r="N86" s="348"/>
      <c r="O86" s="348"/>
      <c r="P86" s="348"/>
    </row>
    <row r="87" spans="1:16" ht="12.75">
      <c r="A87" s="346"/>
      <c r="B87" s="347"/>
      <c r="C87" s="346"/>
      <c r="D87" s="215"/>
      <c r="E87" s="348"/>
      <c r="F87" s="348"/>
      <c r="G87" s="348"/>
      <c r="H87" s="227"/>
      <c r="I87" s="227"/>
      <c r="J87" s="348"/>
      <c r="K87" s="348"/>
      <c r="L87" s="348"/>
      <c r="M87" s="348"/>
      <c r="N87" s="348"/>
      <c r="O87" s="348"/>
      <c r="P87" s="348"/>
    </row>
    <row r="88" spans="1:16" ht="12.75">
      <c r="A88" s="346"/>
      <c r="B88" s="347"/>
      <c r="C88" s="346"/>
      <c r="D88" s="215"/>
      <c r="E88" s="348"/>
      <c r="F88" s="348"/>
      <c r="G88" s="348"/>
      <c r="H88" s="227"/>
      <c r="I88" s="227"/>
      <c r="J88" s="348"/>
      <c r="K88" s="348"/>
      <c r="L88" s="348"/>
      <c r="M88" s="348"/>
      <c r="N88" s="348"/>
      <c r="O88" s="348"/>
      <c r="P88" s="348"/>
    </row>
    <row r="89" spans="1:16" ht="12.75">
      <c r="A89" s="346"/>
      <c r="B89" s="347"/>
      <c r="C89" s="346"/>
      <c r="D89" s="215"/>
      <c r="E89" s="348"/>
      <c r="F89" s="348"/>
      <c r="G89" s="348"/>
      <c r="H89" s="227"/>
      <c r="I89" s="227"/>
      <c r="J89" s="348"/>
      <c r="K89" s="348"/>
      <c r="L89" s="348"/>
      <c r="M89" s="348"/>
      <c r="N89" s="348"/>
      <c r="O89" s="348"/>
      <c r="P89" s="348"/>
    </row>
    <row r="90" spans="1:16" ht="12.75">
      <c r="A90" s="346"/>
      <c r="B90" s="347"/>
      <c r="C90" s="346"/>
      <c r="D90" s="215"/>
      <c r="E90" s="348"/>
      <c r="F90" s="348"/>
      <c r="G90" s="348"/>
      <c r="H90" s="227"/>
      <c r="I90" s="227"/>
      <c r="J90" s="348"/>
      <c r="K90" s="348"/>
      <c r="L90" s="348"/>
      <c r="M90" s="348"/>
      <c r="N90" s="348"/>
      <c r="O90" s="348"/>
      <c r="P90" s="348"/>
    </row>
    <row r="91" spans="1:16" ht="12.75">
      <c r="A91" s="346"/>
      <c r="B91" s="347"/>
      <c r="C91" s="346"/>
      <c r="D91" s="215"/>
      <c r="E91" s="348"/>
      <c r="F91" s="348"/>
      <c r="G91" s="348"/>
      <c r="H91" s="227"/>
      <c r="I91" s="227"/>
      <c r="J91" s="348"/>
      <c r="K91" s="348"/>
      <c r="L91" s="348"/>
      <c r="M91" s="348"/>
      <c r="N91" s="348"/>
      <c r="O91" s="348"/>
      <c r="P91" s="348"/>
    </row>
    <row r="92" spans="1:16" ht="12.75">
      <c r="A92" s="346"/>
      <c r="B92" s="347"/>
      <c r="C92" s="346"/>
      <c r="D92" s="215"/>
      <c r="E92" s="348"/>
      <c r="F92" s="348"/>
      <c r="G92" s="348"/>
      <c r="H92" s="227"/>
      <c r="I92" s="227"/>
      <c r="J92" s="348"/>
      <c r="K92" s="348"/>
      <c r="L92" s="348"/>
      <c r="M92" s="348"/>
      <c r="N92" s="348"/>
      <c r="O92" s="348"/>
      <c r="P92" s="348"/>
    </row>
    <row r="93" spans="1:16" ht="12.75">
      <c r="A93" s="346"/>
      <c r="B93" s="347"/>
      <c r="C93" s="346"/>
      <c r="D93" s="215"/>
      <c r="E93" s="348"/>
      <c r="F93" s="348"/>
      <c r="G93" s="348"/>
      <c r="H93" s="227"/>
      <c r="I93" s="227"/>
      <c r="J93" s="348"/>
      <c r="K93" s="348"/>
      <c r="L93" s="348"/>
      <c r="M93" s="348"/>
      <c r="N93" s="348"/>
      <c r="O93" s="348"/>
      <c r="P93" s="348"/>
    </row>
    <row r="94" spans="1:16" ht="12.75">
      <c r="A94" s="346"/>
      <c r="B94" s="347"/>
      <c r="C94" s="346"/>
      <c r="D94" s="215"/>
      <c r="E94" s="348"/>
      <c r="F94" s="348"/>
      <c r="G94" s="348"/>
      <c r="H94" s="227"/>
      <c r="I94" s="227"/>
      <c r="J94" s="348"/>
      <c r="K94" s="348"/>
      <c r="L94" s="348"/>
      <c r="M94" s="348"/>
      <c r="N94" s="348"/>
      <c r="O94" s="348"/>
      <c r="P94" s="348"/>
    </row>
    <row r="95" spans="1:16" ht="12.75">
      <c r="A95" s="346"/>
      <c r="B95" s="347"/>
      <c r="C95" s="346"/>
      <c r="D95" s="215"/>
      <c r="E95" s="348"/>
      <c r="F95" s="348"/>
      <c r="G95" s="348"/>
      <c r="H95" s="227"/>
      <c r="I95" s="227"/>
      <c r="J95" s="348"/>
      <c r="K95" s="348"/>
      <c r="L95" s="348"/>
      <c r="M95" s="348"/>
      <c r="N95" s="348"/>
      <c r="O95" s="348"/>
      <c r="P95" s="348"/>
    </row>
    <row r="96" spans="1:16" ht="12.75">
      <c r="A96" s="346"/>
      <c r="B96" s="347"/>
      <c r="C96" s="346"/>
      <c r="D96" s="215"/>
      <c r="E96" s="348"/>
      <c r="F96" s="348"/>
      <c r="G96" s="348"/>
      <c r="H96" s="227"/>
      <c r="I96" s="227"/>
      <c r="J96" s="348"/>
      <c r="K96" s="348"/>
      <c r="L96" s="348"/>
      <c r="M96" s="348"/>
      <c r="N96" s="348"/>
      <c r="O96" s="348"/>
      <c r="P96" s="348"/>
    </row>
    <row r="97" spans="1:16" ht="12.75">
      <c r="A97" s="346"/>
      <c r="B97" s="347"/>
      <c r="C97" s="346"/>
      <c r="D97" s="215"/>
      <c r="E97" s="348"/>
      <c r="F97" s="348"/>
      <c r="G97" s="348"/>
      <c r="H97" s="227"/>
      <c r="I97" s="227"/>
      <c r="J97" s="348"/>
      <c r="K97" s="348"/>
      <c r="L97" s="348"/>
      <c r="M97" s="348"/>
      <c r="N97" s="348"/>
      <c r="O97" s="348"/>
      <c r="P97" s="348"/>
    </row>
    <row r="98" spans="1:16" ht="12.75">
      <c r="A98" s="346"/>
      <c r="B98" s="347"/>
      <c r="C98" s="346"/>
      <c r="D98" s="215"/>
      <c r="E98" s="348"/>
      <c r="F98" s="348"/>
      <c r="G98" s="348"/>
      <c r="H98" s="227"/>
      <c r="I98" s="227"/>
      <c r="J98" s="348"/>
      <c r="K98" s="348"/>
      <c r="L98" s="348"/>
      <c r="M98" s="348"/>
      <c r="N98" s="348"/>
      <c r="O98" s="348"/>
      <c r="P98" s="348"/>
    </row>
    <row r="99" spans="1:16" ht="12.75">
      <c r="A99" s="346"/>
      <c r="B99" s="347"/>
      <c r="C99" s="346"/>
      <c r="D99" s="215"/>
      <c r="E99" s="348"/>
      <c r="F99" s="348"/>
      <c r="G99" s="348"/>
      <c r="H99" s="227"/>
      <c r="I99" s="227"/>
      <c r="J99" s="348"/>
      <c r="K99" s="348"/>
      <c r="L99" s="348"/>
      <c r="M99" s="348"/>
      <c r="N99" s="348"/>
      <c r="O99" s="348"/>
      <c r="P99" s="348"/>
    </row>
    <row r="100" spans="1:16" ht="12.75">
      <c r="A100" s="346"/>
      <c r="B100" s="347"/>
      <c r="C100" s="346"/>
      <c r="D100" s="215"/>
      <c r="E100" s="348"/>
      <c r="F100" s="348"/>
      <c r="G100" s="348"/>
      <c r="H100" s="227"/>
      <c r="I100" s="227"/>
      <c r="J100" s="348"/>
      <c r="K100" s="348"/>
      <c r="L100" s="348"/>
      <c r="M100" s="348"/>
      <c r="N100" s="348"/>
      <c r="O100" s="348"/>
      <c r="P100" s="348"/>
    </row>
    <row r="101" spans="1:16" ht="12.75">
      <c r="A101" s="346"/>
      <c r="B101" s="347"/>
      <c r="C101" s="346"/>
      <c r="D101" s="215"/>
      <c r="E101" s="348"/>
      <c r="F101" s="348"/>
      <c r="G101" s="348"/>
      <c r="H101" s="227"/>
      <c r="I101" s="227"/>
      <c r="J101" s="348"/>
      <c r="K101" s="348"/>
      <c r="L101" s="348"/>
      <c r="M101" s="348"/>
      <c r="N101" s="348"/>
      <c r="O101" s="348"/>
      <c r="P101" s="348"/>
    </row>
    <row r="102" spans="1:16" ht="12.75">
      <c r="A102" s="346"/>
      <c r="B102" s="347"/>
      <c r="C102" s="346"/>
      <c r="D102" s="215"/>
      <c r="E102" s="348"/>
      <c r="F102" s="348"/>
      <c r="G102" s="348"/>
      <c r="H102" s="227"/>
      <c r="I102" s="227"/>
      <c r="J102" s="348"/>
      <c r="K102" s="348"/>
      <c r="L102" s="348"/>
      <c r="M102" s="348"/>
      <c r="N102" s="348"/>
      <c r="O102" s="348"/>
      <c r="P102" s="348"/>
    </row>
    <row r="103" spans="1:16" ht="12.75">
      <c r="A103" s="346"/>
      <c r="B103" s="347"/>
      <c r="C103" s="346"/>
      <c r="D103" s="215"/>
      <c r="E103" s="348"/>
      <c r="F103" s="348"/>
      <c r="G103" s="348"/>
      <c r="H103" s="227"/>
      <c r="I103" s="227"/>
      <c r="J103" s="348"/>
      <c r="K103" s="348"/>
      <c r="L103" s="348"/>
      <c r="M103" s="348"/>
      <c r="N103" s="348"/>
      <c r="O103" s="348"/>
      <c r="P103" s="348"/>
    </row>
    <row r="104" spans="1:16" ht="12.75">
      <c r="A104" s="346"/>
      <c r="B104" s="347"/>
      <c r="C104" s="346"/>
      <c r="D104" s="215"/>
      <c r="E104" s="348"/>
      <c r="F104" s="348"/>
      <c r="G104" s="348"/>
      <c r="H104" s="227"/>
      <c r="I104" s="227"/>
      <c r="J104" s="348"/>
      <c r="K104" s="348"/>
      <c r="L104" s="348"/>
      <c r="M104" s="348"/>
      <c r="N104" s="348"/>
      <c r="O104" s="348"/>
      <c r="P104" s="348"/>
    </row>
    <row r="105" spans="1:16" ht="12.75">
      <c r="A105" s="346"/>
      <c r="B105" s="347"/>
      <c r="C105" s="346"/>
      <c r="D105" s="215"/>
      <c r="E105" s="348"/>
      <c r="F105" s="348"/>
      <c r="G105" s="348"/>
      <c r="H105" s="227"/>
      <c r="I105" s="227"/>
      <c r="J105" s="348"/>
      <c r="K105" s="348"/>
      <c r="L105" s="348"/>
      <c r="M105" s="348"/>
      <c r="N105" s="348"/>
      <c r="O105" s="348"/>
      <c r="P105" s="348"/>
    </row>
    <row r="106" spans="1:16" ht="12.75">
      <c r="A106" s="346"/>
      <c r="B106" s="347"/>
      <c r="C106" s="346"/>
      <c r="D106" s="215"/>
      <c r="E106" s="348"/>
      <c r="F106" s="348"/>
      <c r="G106" s="348"/>
      <c r="H106" s="227"/>
      <c r="I106" s="227"/>
      <c r="J106" s="348"/>
      <c r="K106" s="348"/>
      <c r="L106" s="348"/>
      <c r="M106" s="348"/>
      <c r="N106" s="348"/>
      <c r="O106" s="348"/>
      <c r="P106" s="348"/>
    </row>
    <row r="107" spans="1:16" ht="12.75">
      <c r="A107" s="346"/>
      <c r="B107" s="347"/>
      <c r="C107" s="346"/>
      <c r="D107" s="215"/>
      <c r="E107" s="348"/>
      <c r="F107" s="348"/>
      <c r="G107" s="348"/>
      <c r="H107" s="227"/>
      <c r="I107" s="227"/>
      <c r="J107" s="348"/>
      <c r="K107" s="348"/>
      <c r="L107" s="348"/>
      <c r="M107" s="348"/>
      <c r="N107" s="348"/>
      <c r="O107" s="348"/>
      <c r="P107" s="348"/>
    </row>
    <row r="108" spans="1:16" ht="12.75">
      <c r="A108" s="346"/>
      <c r="B108" s="347"/>
      <c r="C108" s="346"/>
      <c r="D108" s="215"/>
      <c r="E108" s="348"/>
      <c r="F108" s="348"/>
      <c r="G108" s="348"/>
      <c r="H108" s="227"/>
      <c r="I108" s="227"/>
      <c r="J108" s="348"/>
      <c r="K108" s="348"/>
      <c r="L108" s="348"/>
      <c r="M108" s="348"/>
      <c r="N108" s="348"/>
      <c r="O108" s="348"/>
      <c r="P108" s="348"/>
    </row>
    <row r="109" spans="1:16" ht="12.75">
      <c r="A109" s="346"/>
      <c r="B109" s="347"/>
      <c r="C109" s="346"/>
      <c r="D109" s="215"/>
      <c r="E109" s="348"/>
      <c r="F109" s="348"/>
      <c r="G109" s="348"/>
      <c r="H109" s="227"/>
      <c r="I109" s="227"/>
      <c r="J109" s="348"/>
      <c r="K109" s="348"/>
      <c r="L109" s="348"/>
      <c r="M109" s="348"/>
      <c r="N109" s="348"/>
      <c r="O109" s="348"/>
      <c r="P109" s="348"/>
    </row>
    <row r="110" spans="1:16" ht="12.75">
      <c r="A110" s="346"/>
      <c r="B110" s="347"/>
      <c r="C110" s="346"/>
      <c r="D110" s="215"/>
      <c r="E110" s="348"/>
      <c r="F110" s="348"/>
      <c r="G110" s="348"/>
      <c r="H110" s="227"/>
      <c r="I110" s="227"/>
      <c r="J110" s="348"/>
      <c r="K110" s="348"/>
      <c r="L110" s="348"/>
      <c r="M110" s="348"/>
      <c r="N110" s="348"/>
      <c r="O110" s="348"/>
      <c r="P110" s="348"/>
    </row>
    <row r="111" spans="1:16" ht="12.75">
      <c r="A111" s="346"/>
      <c r="B111" s="347"/>
      <c r="C111" s="346"/>
      <c r="D111" s="215"/>
      <c r="E111" s="348"/>
      <c r="F111" s="348"/>
      <c r="G111" s="348"/>
      <c r="H111" s="227"/>
      <c r="I111" s="227"/>
      <c r="J111" s="348"/>
      <c r="K111" s="348"/>
      <c r="L111" s="348"/>
      <c r="M111" s="348"/>
      <c r="N111" s="348"/>
      <c r="O111" s="348"/>
      <c r="P111" s="348"/>
    </row>
    <row r="112" spans="1:16" ht="12.75">
      <c r="A112" s="346"/>
      <c r="B112" s="347"/>
      <c r="C112" s="346"/>
      <c r="D112" s="215"/>
      <c r="E112" s="348"/>
      <c r="F112" s="348"/>
      <c r="G112" s="348"/>
      <c r="H112" s="227"/>
      <c r="I112" s="227"/>
      <c r="J112" s="348"/>
      <c r="K112" s="348"/>
      <c r="L112" s="348"/>
      <c r="M112" s="348"/>
      <c r="N112" s="348"/>
      <c r="O112" s="348"/>
      <c r="P112" s="348"/>
    </row>
    <row r="113" spans="1:16" ht="12.75">
      <c r="A113" s="346"/>
      <c r="B113" s="347"/>
      <c r="C113" s="346"/>
      <c r="D113" s="215"/>
      <c r="E113" s="348"/>
      <c r="F113" s="348"/>
      <c r="G113" s="348"/>
      <c r="H113" s="227"/>
      <c r="I113" s="227"/>
      <c r="J113" s="348"/>
      <c r="K113" s="348"/>
      <c r="L113" s="348"/>
      <c r="M113" s="348"/>
      <c r="N113" s="348"/>
      <c r="O113" s="348"/>
      <c r="P113" s="348"/>
    </row>
    <row r="114" spans="1:16" ht="12.75">
      <c r="A114" s="346"/>
      <c r="B114" s="347"/>
      <c r="C114" s="346"/>
      <c r="D114" s="215"/>
      <c r="E114" s="348"/>
      <c r="F114" s="348"/>
      <c r="G114" s="348"/>
      <c r="H114" s="227"/>
      <c r="I114" s="227"/>
      <c r="J114" s="348"/>
      <c r="K114" s="348"/>
      <c r="L114" s="348"/>
      <c r="M114" s="348"/>
      <c r="N114" s="348"/>
      <c r="O114" s="348"/>
      <c r="P114" s="348"/>
    </row>
    <row r="115" spans="1:16" ht="12.75">
      <c r="A115" s="346"/>
      <c r="B115" s="347"/>
      <c r="C115" s="346"/>
      <c r="D115" s="215"/>
      <c r="E115" s="348"/>
      <c r="F115" s="348"/>
      <c r="G115" s="348"/>
      <c r="H115" s="227"/>
      <c r="I115" s="227"/>
      <c r="J115" s="348"/>
      <c r="K115" s="348"/>
      <c r="L115" s="348"/>
      <c r="M115" s="348"/>
      <c r="N115" s="348"/>
      <c r="O115" s="348"/>
      <c r="P115" s="348"/>
    </row>
    <row r="116" spans="1:16" ht="12.75">
      <c r="A116" s="346"/>
      <c r="B116" s="347"/>
      <c r="C116" s="346"/>
      <c r="D116" s="215"/>
      <c r="E116" s="348"/>
      <c r="F116" s="348"/>
      <c r="G116" s="348"/>
      <c r="H116" s="227"/>
      <c r="I116" s="227"/>
      <c r="J116" s="348"/>
      <c r="K116" s="348"/>
      <c r="L116" s="348"/>
      <c r="M116" s="348"/>
      <c r="N116" s="348"/>
      <c r="O116" s="348"/>
      <c r="P116" s="348"/>
    </row>
    <row r="117" spans="1:16" ht="12.75">
      <c r="A117" s="346"/>
      <c r="B117" s="347"/>
      <c r="C117" s="346"/>
      <c r="D117" s="215"/>
      <c r="E117" s="348"/>
      <c r="F117" s="348"/>
      <c r="G117" s="348"/>
      <c r="H117" s="227"/>
      <c r="I117" s="227"/>
      <c r="J117" s="348"/>
      <c r="K117" s="348"/>
      <c r="L117" s="348"/>
      <c r="M117" s="348"/>
      <c r="N117" s="348"/>
      <c r="O117" s="348"/>
      <c r="P117" s="348"/>
    </row>
    <row r="118" spans="1:16" ht="12.75">
      <c r="A118" s="346"/>
      <c r="B118" s="347"/>
      <c r="C118" s="346"/>
      <c r="D118" s="215"/>
      <c r="E118" s="348"/>
      <c r="F118" s="348"/>
      <c r="G118" s="348"/>
      <c r="H118" s="227"/>
      <c r="I118" s="227"/>
      <c r="J118" s="348"/>
      <c r="K118" s="348"/>
      <c r="L118" s="348"/>
      <c r="M118" s="348"/>
      <c r="N118" s="348"/>
      <c r="O118" s="348"/>
      <c r="P118" s="348"/>
    </row>
    <row r="119" spans="1:16" ht="12.75">
      <c r="A119" s="346"/>
      <c r="B119" s="347"/>
      <c r="C119" s="346"/>
      <c r="D119" s="215"/>
      <c r="E119" s="348"/>
      <c r="F119" s="348"/>
      <c r="G119" s="348"/>
      <c r="H119" s="227"/>
      <c r="I119" s="227"/>
      <c r="J119" s="348"/>
      <c r="K119" s="348"/>
      <c r="L119" s="348"/>
      <c r="M119" s="348"/>
      <c r="N119" s="348"/>
      <c r="O119" s="348"/>
      <c r="P119" s="348"/>
    </row>
    <row r="120" spans="1:16" ht="12.75">
      <c r="A120" s="346"/>
      <c r="B120" s="347"/>
      <c r="C120" s="346"/>
      <c r="D120" s="215"/>
      <c r="E120" s="348"/>
      <c r="F120" s="348"/>
      <c r="G120" s="348"/>
      <c r="H120" s="227"/>
      <c r="I120" s="227"/>
      <c r="J120" s="348"/>
      <c r="K120" s="348"/>
      <c r="L120" s="348"/>
      <c r="M120" s="348"/>
      <c r="N120" s="348"/>
      <c r="O120" s="348"/>
      <c r="P120" s="348"/>
    </row>
    <row r="121" spans="1:16" ht="12.75">
      <c r="A121" s="346"/>
      <c r="B121" s="347"/>
      <c r="C121" s="346"/>
      <c r="D121" s="215"/>
      <c r="E121" s="348"/>
      <c r="F121" s="348"/>
      <c r="G121" s="348"/>
      <c r="H121" s="227"/>
      <c r="I121" s="227"/>
      <c r="J121" s="348"/>
      <c r="K121" s="348"/>
      <c r="L121" s="348"/>
      <c r="M121" s="348"/>
      <c r="N121" s="348"/>
      <c r="O121" s="348"/>
      <c r="P121" s="348"/>
    </row>
    <row r="122" spans="1:16" ht="12.75">
      <c r="A122" s="346"/>
      <c r="B122" s="347"/>
      <c r="C122" s="346"/>
      <c r="D122" s="215"/>
      <c r="E122" s="348"/>
      <c r="F122" s="348"/>
      <c r="G122" s="348"/>
      <c r="H122" s="227"/>
      <c r="I122" s="227"/>
      <c r="J122" s="348"/>
      <c r="K122" s="348"/>
      <c r="L122" s="348"/>
      <c r="M122" s="348"/>
      <c r="N122" s="348"/>
      <c r="O122" s="348"/>
      <c r="P122" s="348"/>
    </row>
    <row r="123" spans="1:16" ht="12.75">
      <c r="A123" s="346"/>
      <c r="B123" s="347"/>
      <c r="C123" s="346"/>
      <c r="D123" s="215"/>
      <c r="E123" s="348"/>
      <c r="F123" s="348"/>
      <c r="G123" s="348"/>
      <c r="H123" s="227"/>
      <c r="I123" s="227"/>
      <c r="J123" s="348"/>
      <c r="K123" s="348"/>
      <c r="L123" s="348"/>
      <c r="M123" s="348"/>
      <c r="N123" s="348"/>
      <c r="O123" s="348"/>
      <c r="P123" s="348"/>
    </row>
    <row r="124" spans="1:16" ht="12.75">
      <c r="A124" s="346"/>
      <c r="B124" s="347"/>
      <c r="C124" s="346"/>
      <c r="D124" s="215"/>
      <c r="E124" s="348"/>
      <c r="F124" s="348"/>
      <c r="G124" s="348"/>
      <c r="H124" s="227"/>
      <c r="I124" s="227"/>
      <c r="J124" s="348"/>
      <c r="K124" s="348"/>
      <c r="L124" s="348"/>
      <c r="M124" s="348"/>
      <c r="N124" s="348"/>
      <c r="O124" s="348"/>
      <c r="P124" s="348"/>
    </row>
    <row r="125" spans="1:16" ht="12.75">
      <c r="A125" s="346"/>
      <c r="B125" s="347"/>
      <c r="C125" s="346"/>
      <c r="D125" s="215"/>
      <c r="E125" s="348"/>
      <c r="F125" s="348"/>
      <c r="G125" s="348"/>
      <c r="H125" s="227"/>
      <c r="I125" s="227"/>
      <c r="J125" s="348"/>
      <c r="K125" s="348"/>
      <c r="L125" s="348"/>
      <c r="M125" s="348"/>
      <c r="N125" s="348"/>
      <c r="O125" s="348"/>
      <c r="P125" s="348"/>
    </row>
    <row r="126" spans="1:16" ht="12.75">
      <c r="A126" s="346"/>
      <c r="B126" s="347"/>
      <c r="C126" s="346"/>
      <c r="D126" s="215"/>
      <c r="E126" s="348"/>
      <c r="F126" s="348"/>
      <c r="G126" s="348"/>
      <c r="H126" s="227"/>
      <c r="I126" s="227"/>
      <c r="J126" s="348"/>
      <c r="K126" s="348"/>
      <c r="L126" s="348"/>
      <c r="M126" s="348"/>
      <c r="N126" s="348"/>
      <c r="O126" s="348"/>
      <c r="P126" s="348"/>
    </row>
    <row r="127" spans="1:16" ht="12.75">
      <c r="A127" s="346"/>
      <c r="B127" s="347"/>
      <c r="C127" s="346"/>
      <c r="D127" s="215"/>
      <c r="E127" s="348"/>
      <c r="F127" s="348"/>
      <c r="G127" s="348"/>
      <c r="H127" s="227"/>
      <c r="I127" s="227"/>
      <c r="J127" s="348"/>
      <c r="K127" s="348"/>
      <c r="L127" s="348"/>
      <c r="M127" s="348"/>
      <c r="N127" s="348"/>
      <c r="O127" s="348"/>
      <c r="P127" s="348"/>
    </row>
    <row r="128" spans="1:16" ht="12.75">
      <c r="A128" s="346"/>
      <c r="B128" s="347"/>
      <c r="C128" s="346"/>
      <c r="D128" s="215"/>
      <c r="E128" s="348"/>
      <c r="F128" s="348"/>
      <c r="G128" s="348"/>
      <c r="H128" s="227"/>
      <c r="I128" s="227"/>
      <c r="J128" s="348"/>
      <c r="K128" s="348"/>
      <c r="L128" s="348"/>
      <c r="M128" s="348"/>
      <c r="N128" s="348"/>
      <c r="O128" s="348"/>
      <c r="P128" s="348"/>
    </row>
    <row r="129" spans="1:16" ht="12.75">
      <c r="A129" s="346"/>
      <c r="B129" s="347"/>
      <c r="C129" s="346"/>
      <c r="D129" s="215"/>
      <c r="E129" s="348"/>
      <c r="F129" s="348"/>
      <c r="G129" s="348"/>
      <c r="H129" s="227"/>
      <c r="I129" s="227"/>
      <c r="J129" s="348"/>
      <c r="K129" s="348"/>
      <c r="L129" s="348"/>
      <c r="M129" s="348"/>
      <c r="N129" s="348"/>
      <c r="O129" s="348"/>
      <c r="P129" s="348"/>
    </row>
    <row r="130" spans="1:16" ht="12.75">
      <c r="A130" s="346"/>
      <c r="B130" s="347"/>
      <c r="C130" s="346"/>
      <c r="D130" s="215"/>
      <c r="E130" s="348"/>
      <c r="F130" s="348"/>
      <c r="G130" s="348"/>
      <c r="H130" s="227"/>
      <c r="I130" s="227"/>
      <c r="J130" s="348"/>
      <c r="K130" s="348"/>
      <c r="L130" s="348"/>
      <c r="M130" s="348"/>
      <c r="N130" s="348"/>
      <c r="O130" s="348"/>
      <c r="P130" s="348"/>
    </row>
    <row r="131" spans="1:16" ht="12.75">
      <c r="A131" s="346"/>
      <c r="B131" s="347"/>
      <c r="C131" s="346"/>
      <c r="D131" s="215"/>
      <c r="E131" s="348"/>
      <c r="F131" s="348"/>
      <c r="G131" s="348"/>
      <c r="H131" s="227"/>
      <c r="I131" s="227"/>
      <c r="J131" s="348"/>
      <c r="K131" s="348"/>
      <c r="L131" s="348"/>
      <c r="M131" s="348"/>
      <c r="N131" s="348"/>
      <c r="O131" s="348"/>
      <c r="P131" s="348"/>
    </row>
    <row r="132" spans="1:16" ht="12.75">
      <c r="A132" s="346"/>
      <c r="B132" s="347"/>
      <c r="C132" s="346"/>
      <c r="D132" s="215"/>
      <c r="E132" s="348"/>
      <c r="F132" s="348"/>
      <c r="G132" s="348"/>
      <c r="H132" s="227"/>
      <c r="I132" s="227"/>
      <c r="J132" s="348"/>
      <c r="K132" s="348"/>
      <c r="L132" s="348"/>
      <c r="M132" s="348"/>
      <c r="N132" s="348"/>
      <c r="O132" s="348"/>
      <c r="P132" s="348"/>
    </row>
    <row r="133" spans="1:16" ht="12.75">
      <c r="A133" s="346"/>
      <c r="B133" s="347"/>
      <c r="C133" s="346"/>
      <c r="D133" s="215"/>
      <c r="E133" s="348"/>
      <c r="F133" s="348"/>
      <c r="G133" s="348"/>
      <c r="H133" s="227"/>
      <c r="I133" s="227"/>
      <c r="J133" s="348"/>
      <c r="K133" s="348"/>
      <c r="L133" s="348"/>
      <c r="M133" s="348"/>
      <c r="N133" s="348"/>
      <c r="O133" s="348"/>
      <c r="P133" s="348"/>
    </row>
    <row r="134" spans="1:16" ht="12.75">
      <c r="A134" s="346"/>
      <c r="B134" s="347"/>
      <c r="C134" s="346"/>
      <c r="D134" s="215"/>
      <c r="E134" s="348"/>
      <c r="F134" s="348"/>
      <c r="G134" s="348"/>
      <c r="H134" s="227"/>
      <c r="I134" s="227"/>
      <c r="J134" s="348"/>
      <c r="K134" s="348"/>
      <c r="L134" s="348"/>
      <c r="M134" s="348"/>
      <c r="N134" s="348"/>
      <c r="O134" s="348"/>
      <c r="P134" s="348"/>
    </row>
    <row r="135" spans="1:16" ht="12.75">
      <c r="A135" s="346"/>
      <c r="B135" s="347"/>
      <c r="C135" s="346"/>
      <c r="D135" s="215"/>
      <c r="E135" s="348"/>
      <c r="F135" s="348"/>
      <c r="G135" s="348"/>
      <c r="H135" s="227"/>
      <c r="I135" s="227"/>
      <c r="J135" s="348"/>
      <c r="K135" s="348"/>
      <c r="L135" s="348"/>
      <c r="M135" s="348"/>
      <c r="N135" s="348"/>
      <c r="O135" s="348"/>
      <c r="P135" s="348"/>
    </row>
    <row r="136" spans="1:16" ht="12.75">
      <c r="A136" s="346"/>
      <c r="B136" s="347"/>
      <c r="C136" s="346"/>
      <c r="D136" s="215"/>
      <c r="E136" s="348"/>
      <c r="F136" s="348"/>
      <c r="G136" s="348"/>
      <c r="H136" s="227"/>
      <c r="I136" s="227"/>
      <c r="J136" s="348"/>
      <c r="K136" s="348"/>
      <c r="L136" s="348"/>
      <c r="M136" s="348"/>
      <c r="N136" s="348"/>
      <c r="O136" s="348"/>
      <c r="P136" s="348"/>
    </row>
    <row r="137" spans="1:16" ht="12.75">
      <c r="A137" s="346"/>
      <c r="B137" s="347"/>
      <c r="C137" s="346"/>
      <c r="D137" s="215"/>
      <c r="E137" s="348"/>
      <c r="F137" s="348"/>
      <c r="G137" s="348"/>
      <c r="H137" s="227"/>
      <c r="I137" s="227"/>
      <c r="J137" s="348"/>
      <c r="K137" s="348"/>
      <c r="L137" s="348"/>
      <c r="M137" s="348"/>
      <c r="N137" s="348"/>
      <c r="O137" s="348"/>
      <c r="P137" s="348"/>
    </row>
    <row r="138" spans="1:16" ht="12.75">
      <c r="A138" s="346"/>
      <c r="B138" s="347"/>
      <c r="C138" s="346"/>
      <c r="D138" s="215"/>
      <c r="E138" s="348"/>
      <c r="F138" s="348"/>
      <c r="G138" s="348"/>
      <c r="H138" s="227"/>
      <c r="I138" s="227"/>
      <c r="J138" s="348"/>
      <c r="K138" s="348"/>
      <c r="L138" s="348"/>
      <c r="M138" s="348"/>
      <c r="N138" s="348"/>
      <c r="O138" s="348"/>
      <c r="P138" s="348"/>
    </row>
    <row r="139" spans="1:16" ht="12.75">
      <c r="A139" s="346"/>
      <c r="B139" s="347"/>
      <c r="C139" s="346"/>
      <c r="D139" s="215"/>
      <c r="E139" s="348"/>
      <c r="F139" s="348"/>
      <c r="G139" s="348"/>
      <c r="H139" s="227"/>
      <c r="I139" s="227"/>
      <c r="J139" s="348"/>
      <c r="K139" s="348"/>
      <c r="L139" s="348"/>
      <c r="M139" s="348"/>
      <c r="N139" s="348"/>
      <c r="O139" s="348"/>
      <c r="P139" s="348"/>
    </row>
    <row r="140" spans="1:16" ht="12.75">
      <c r="A140" s="346"/>
      <c r="B140" s="347"/>
      <c r="C140" s="346"/>
      <c r="D140" s="215"/>
      <c r="E140" s="348"/>
      <c r="F140" s="348"/>
      <c r="G140" s="348"/>
      <c r="H140" s="227"/>
      <c r="I140" s="227"/>
      <c r="J140" s="348"/>
      <c r="K140" s="348"/>
      <c r="L140" s="348"/>
      <c r="M140" s="348"/>
      <c r="N140" s="348"/>
      <c r="O140" s="348"/>
      <c r="P140" s="348"/>
    </row>
    <row r="141" spans="1:16" ht="12.75">
      <c r="A141" s="346"/>
      <c r="B141" s="347"/>
      <c r="C141" s="346"/>
      <c r="D141" s="215"/>
      <c r="E141" s="348"/>
      <c r="F141" s="348"/>
      <c r="G141" s="348"/>
      <c r="H141" s="227"/>
      <c r="I141" s="227"/>
      <c r="J141" s="348"/>
      <c r="K141" s="348"/>
      <c r="L141" s="348"/>
      <c r="M141" s="348"/>
      <c r="N141" s="348"/>
      <c r="O141" s="348"/>
      <c r="P141" s="348"/>
    </row>
    <row r="142" spans="1:16" ht="12.75">
      <c r="A142" s="346"/>
      <c r="B142" s="347"/>
      <c r="C142" s="346"/>
      <c r="D142" s="215"/>
      <c r="E142" s="348"/>
      <c r="F142" s="348"/>
      <c r="G142" s="348"/>
      <c r="H142" s="227"/>
      <c r="I142" s="227"/>
      <c r="J142" s="348"/>
      <c r="K142" s="348"/>
      <c r="L142" s="348"/>
      <c r="M142" s="348"/>
      <c r="N142" s="348"/>
      <c r="O142" s="348"/>
      <c r="P142" s="348"/>
    </row>
    <row r="143" spans="1:16" ht="12.75">
      <c r="A143" s="346"/>
      <c r="B143" s="347"/>
      <c r="C143" s="346"/>
      <c r="D143" s="215"/>
      <c r="E143" s="348"/>
      <c r="F143" s="348"/>
      <c r="G143" s="348"/>
      <c r="H143" s="227"/>
      <c r="I143" s="227"/>
      <c r="J143" s="348"/>
      <c r="K143" s="348"/>
      <c r="L143" s="348"/>
      <c r="M143" s="348"/>
      <c r="N143" s="348"/>
      <c r="O143" s="348"/>
      <c r="P143" s="348"/>
    </row>
    <row r="144" spans="1:16" ht="12.75">
      <c r="A144" s="346"/>
      <c r="B144" s="347"/>
      <c r="C144" s="346"/>
      <c r="D144" s="215"/>
      <c r="E144" s="348"/>
      <c r="F144" s="348"/>
      <c r="G144" s="348"/>
      <c r="H144" s="227"/>
      <c r="I144" s="227"/>
      <c r="J144" s="348"/>
      <c r="K144" s="348"/>
      <c r="L144" s="348"/>
      <c r="M144" s="348"/>
      <c r="N144" s="348"/>
      <c r="O144" s="348"/>
      <c r="P144" s="348"/>
    </row>
    <row r="145" spans="1:16" ht="12.75">
      <c r="A145" s="346"/>
      <c r="B145" s="347"/>
      <c r="C145" s="346"/>
      <c r="D145" s="215"/>
      <c r="E145" s="348"/>
      <c r="F145" s="348"/>
      <c r="G145" s="348"/>
      <c r="H145" s="227"/>
      <c r="I145" s="227"/>
      <c r="J145" s="348"/>
      <c r="K145" s="348"/>
      <c r="L145" s="348"/>
      <c r="M145" s="348"/>
      <c r="N145" s="348"/>
      <c r="O145" s="348"/>
      <c r="P145" s="348"/>
    </row>
    <row r="146" spans="1:16" ht="12.75">
      <c r="A146" s="346"/>
      <c r="B146" s="347"/>
      <c r="C146" s="346"/>
      <c r="D146" s="215"/>
      <c r="E146" s="348"/>
      <c r="F146" s="348"/>
      <c r="G146" s="348"/>
      <c r="H146" s="227"/>
      <c r="I146" s="227"/>
      <c r="J146" s="348"/>
      <c r="K146" s="348"/>
      <c r="L146" s="348"/>
      <c r="M146" s="348"/>
      <c r="N146" s="348"/>
      <c r="O146" s="348"/>
      <c r="P146" s="348"/>
    </row>
    <row r="147" spans="1:16" ht="12.75">
      <c r="A147" s="346"/>
      <c r="B147" s="347"/>
      <c r="C147" s="346"/>
      <c r="D147" s="215"/>
      <c r="E147" s="348"/>
      <c r="F147" s="348"/>
      <c r="G147" s="348"/>
      <c r="H147" s="227"/>
      <c r="I147" s="227"/>
      <c r="J147" s="348"/>
      <c r="K147" s="348"/>
      <c r="L147" s="348"/>
      <c r="M147" s="348"/>
      <c r="N147" s="348"/>
      <c r="O147" s="348"/>
      <c r="P147" s="348"/>
    </row>
    <row r="148" spans="1:16" ht="12.75">
      <c r="A148" s="346"/>
      <c r="B148" s="347"/>
      <c r="C148" s="346"/>
      <c r="D148" s="215"/>
      <c r="E148" s="348"/>
      <c r="F148" s="348"/>
      <c r="G148" s="348"/>
      <c r="H148" s="227"/>
      <c r="I148" s="227"/>
      <c r="J148" s="348"/>
      <c r="K148" s="348"/>
      <c r="L148" s="348"/>
      <c r="M148" s="348"/>
      <c r="N148" s="348"/>
      <c r="O148" s="348"/>
      <c r="P148" s="348"/>
    </row>
    <row r="149" spans="1:16" ht="12.75">
      <c r="A149" s="346"/>
      <c r="B149" s="347"/>
      <c r="C149" s="346"/>
      <c r="D149" s="215"/>
      <c r="E149" s="348"/>
      <c r="F149" s="348"/>
      <c r="G149" s="348"/>
      <c r="H149" s="227"/>
      <c r="I149" s="227"/>
      <c r="J149" s="348"/>
      <c r="K149" s="348"/>
      <c r="L149" s="348"/>
      <c r="M149" s="348"/>
      <c r="N149" s="348"/>
      <c r="O149" s="348"/>
      <c r="P149" s="348"/>
    </row>
    <row r="150" spans="1:16" ht="12.75">
      <c r="A150" s="346"/>
      <c r="B150" s="347"/>
      <c r="C150" s="346"/>
      <c r="D150" s="215"/>
      <c r="E150" s="348"/>
      <c r="F150" s="348"/>
      <c r="G150" s="348"/>
      <c r="H150" s="227"/>
      <c r="I150" s="227"/>
      <c r="J150" s="348"/>
      <c r="K150" s="348"/>
      <c r="L150" s="348"/>
      <c r="M150" s="348"/>
      <c r="N150" s="348"/>
      <c r="O150" s="348"/>
      <c r="P150" s="348"/>
    </row>
    <row r="151" spans="1:16" ht="12.75">
      <c r="A151" s="346"/>
      <c r="B151" s="347"/>
      <c r="C151" s="346"/>
      <c r="D151" s="215"/>
      <c r="E151" s="348"/>
      <c r="F151" s="348"/>
      <c r="G151" s="348"/>
      <c r="H151" s="227"/>
      <c r="I151" s="227"/>
      <c r="J151" s="348"/>
      <c r="K151" s="348"/>
      <c r="L151" s="348"/>
      <c r="M151" s="348"/>
      <c r="N151" s="348"/>
      <c r="O151" s="348"/>
      <c r="P151" s="348"/>
    </row>
    <row r="152" spans="1:16" ht="12.75">
      <c r="A152" s="346"/>
      <c r="B152" s="347"/>
      <c r="C152" s="346"/>
      <c r="D152" s="215"/>
      <c r="E152" s="348"/>
      <c r="F152" s="348"/>
      <c r="G152" s="348"/>
      <c r="H152" s="227"/>
      <c r="I152" s="227"/>
      <c r="J152" s="348"/>
      <c r="K152" s="348"/>
      <c r="L152" s="348"/>
      <c r="M152" s="348"/>
      <c r="N152" s="348"/>
      <c r="O152" s="348"/>
      <c r="P152" s="348"/>
    </row>
    <row r="153" spans="1:16" ht="12.75">
      <c r="A153" s="346"/>
      <c r="B153" s="347"/>
      <c r="C153" s="346"/>
      <c r="D153" s="215"/>
      <c r="E153" s="348"/>
      <c r="F153" s="348"/>
      <c r="G153" s="348"/>
      <c r="H153" s="227"/>
      <c r="I153" s="227"/>
      <c r="J153" s="348"/>
      <c r="K153" s="348"/>
      <c r="L153" s="348"/>
      <c r="M153" s="348"/>
      <c r="N153" s="348"/>
      <c r="O153" s="348"/>
      <c r="P153" s="348"/>
    </row>
    <row r="154" spans="1:16" ht="12.75">
      <c r="A154" s="346"/>
      <c r="B154" s="347"/>
      <c r="C154" s="346"/>
      <c r="D154" s="215"/>
      <c r="E154" s="348"/>
      <c r="F154" s="348"/>
      <c r="G154" s="348"/>
      <c r="H154" s="227"/>
      <c r="I154" s="227"/>
      <c r="J154" s="348"/>
      <c r="K154" s="348"/>
      <c r="L154" s="348"/>
      <c r="M154" s="348"/>
      <c r="N154" s="348"/>
      <c r="O154" s="348"/>
      <c r="P154" s="348"/>
    </row>
    <row r="155" spans="1:16" ht="12.75">
      <c r="A155" s="346"/>
      <c r="B155" s="347"/>
      <c r="C155" s="346"/>
      <c r="D155" s="215"/>
      <c r="E155" s="348"/>
      <c r="F155" s="348"/>
      <c r="G155" s="348"/>
      <c r="H155" s="227"/>
      <c r="I155" s="227"/>
      <c r="J155" s="348"/>
      <c r="K155" s="348"/>
      <c r="L155" s="348"/>
      <c r="M155" s="348"/>
      <c r="N155" s="348"/>
      <c r="O155" s="348"/>
      <c r="P155" s="348"/>
    </row>
    <row r="156" spans="1:16" ht="12.75">
      <c r="A156" s="346"/>
      <c r="B156" s="347"/>
      <c r="C156" s="346"/>
      <c r="D156" s="215"/>
      <c r="E156" s="348"/>
      <c r="F156" s="348"/>
      <c r="G156" s="348"/>
      <c r="H156" s="227"/>
      <c r="I156" s="227"/>
      <c r="J156" s="348"/>
      <c r="K156" s="348"/>
      <c r="L156" s="348"/>
      <c r="M156" s="348"/>
      <c r="N156" s="348"/>
      <c r="O156" s="348"/>
      <c r="P156" s="348"/>
    </row>
    <row r="157" spans="1:16" ht="12.75">
      <c r="A157" s="346"/>
      <c r="B157" s="347"/>
      <c r="C157" s="346"/>
      <c r="D157" s="215"/>
      <c r="E157" s="348"/>
      <c r="F157" s="348"/>
      <c r="G157" s="348"/>
      <c r="H157" s="227"/>
      <c r="I157" s="227"/>
      <c r="J157" s="348"/>
      <c r="K157" s="348"/>
      <c r="L157" s="348"/>
      <c r="M157" s="348"/>
      <c r="N157" s="348"/>
      <c r="O157" s="348"/>
      <c r="P157" s="348"/>
    </row>
    <row r="158" spans="1:16" ht="12.75">
      <c r="A158" s="346"/>
      <c r="B158" s="347"/>
      <c r="C158" s="346"/>
      <c r="D158" s="215"/>
      <c r="E158" s="348"/>
      <c r="F158" s="348"/>
      <c r="G158" s="348"/>
      <c r="H158" s="227"/>
      <c r="I158" s="227"/>
      <c r="J158" s="348"/>
      <c r="K158" s="348"/>
      <c r="L158" s="348"/>
      <c r="M158" s="348"/>
      <c r="N158" s="348"/>
      <c r="O158" s="348"/>
      <c r="P158" s="348"/>
    </row>
    <row r="159" spans="1:16" ht="12.75">
      <c r="A159" s="346"/>
      <c r="B159" s="347"/>
      <c r="C159" s="346"/>
      <c r="D159" s="215"/>
      <c r="E159" s="348"/>
      <c r="F159" s="348"/>
      <c r="G159" s="348"/>
      <c r="H159" s="227"/>
      <c r="I159" s="227"/>
      <c r="J159" s="348"/>
      <c r="K159" s="348"/>
      <c r="L159" s="348"/>
      <c r="M159" s="348"/>
      <c r="N159" s="348"/>
      <c r="O159" s="348"/>
      <c r="P159" s="348"/>
    </row>
    <row r="160" spans="1:16" ht="12.75">
      <c r="A160" s="346"/>
      <c r="B160" s="347"/>
      <c r="C160" s="346"/>
      <c r="D160" s="215"/>
      <c r="E160" s="348"/>
      <c r="F160" s="348"/>
      <c r="G160" s="348"/>
      <c r="H160" s="227"/>
      <c r="I160" s="227"/>
      <c r="J160" s="348"/>
      <c r="K160" s="348"/>
      <c r="L160" s="348"/>
      <c r="M160" s="348"/>
      <c r="N160" s="348"/>
      <c r="O160" s="348"/>
      <c r="P160" s="348"/>
    </row>
    <row r="161" spans="1:16" ht="12.75">
      <c r="A161" s="346"/>
      <c r="B161" s="347"/>
      <c r="C161" s="346"/>
      <c r="D161" s="215"/>
      <c r="E161" s="348"/>
      <c r="F161" s="348"/>
      <c r="G161" s="348"/>
      <c r="H161" s="227"/>
      <c r="I161" s="227"/>
      <c r="J161" s="348"/>
      <c r="K161" s="348"/>
      <c r="L161" s="348"/>
      <c r="M161" s="348"/>
      <c r="N161" s="348"/>
      <c r="O161" s="348"/>
      <c r="P161" s="348"/>
    </row>
    <row r="162" spans="1:16" ht="12.75">
      <c r="A162" s="346"/>
      <c r="B162" s="347"/>
      <c r="C162" s="346"/>
      <c r="D162" s="215"/>
      <c r="E162" s="348"/>
      <c r="F162" s="348"/>
      <c r="G162" s="348"/>
      <c r="H162" s="227"/>
      <c r="I162" s="227"/>
      <c r="J162" s="348"/>
      <c r="K162" s="348"/>
      <c r="L162" s="348"/>
      <c r="M162" s="348"/>
      <c r="N162" s="348"/>
      <c r="O162" s="348"/>
      <c r="P162" s="348"/>
    </row>
    <row r="163" spans="1:16" ht="12.75">
      <c r="A163" s="346"/>
      <c r="B163" s="347"/>
      <c r="C163" s="346"/>
      <c r="D163" s="215"/>
      <c r="E163" s="348"/>
      <c r="F163" s="348"/>
      <c r="G163" s="348"/>
      <c r="H163" s="227"/>
      <c r="I163" s="227"/>
      <c r="J163" s="348"/>
      <c r="K163" s="348"/>
      <c r="L163" s="348"/>
      <c r="M163" s="348"/>
      <c r="N163" s="348"/>
      <c r="O163" s="348"/>
      <c r="P163" s="348"/>
    </row>
    <row r="164" spans="1:16" ht="12.75">
      <c r="A164" s="346"/>
      <c r="B164" s="347"/>
      <c r="C164" s="346"/>
      <c r="D164" s="215"/>
      <c r="E164" s="348"/>
      <c r="F164" s="348"/>
      <c r="G164" s="348"/>
      <c r="H164" s="227"/>
      <c r="I164" s="227"/>
      <c r="J164" s="348"/>
      <c r="K164" s="348"/>
      <c r="L164" s="348"/>
      <c r="M164" s="348"/>
      <c r="N164" s="348"/>
      <c r="O164" s="348"/>
      <c r="P164" s="348"/>
    </row>
    <row r="165" spans="1:16" ht="12.75">
      <c r="A165" s="346"/>
      <c r="B165" s="347"/>
      <c r="C165" s="346"/>
      <c r="D165" s="215"/>
      <c r="E165" s="348"/>
      <c r="F165" s="348"/>
      <c r="G165" s="348"/>
      <c r="H165" s="227"/>
      <c r="I165" s="227"/>
      <c r="J165" s="348"/>
      <c r="K165" s="348"/>
      <c r="L165" s="348"/>
      <c r="M165" s="348"/>
      <c r="N165" s="348"/>
      <c r="O165" s="348"/>
      <c r="P165" s="348"/>
    </row>
    <row r="166" spans="1:16" ht="12.75">
      <c r="A166" s="346"/>
      <c r="B166" s="347"/>
      <c r="C166" s="346"/>
      <c r="D166" s="215"/>
      <c r="E166" s="348"/>
      <c r="F166" s="348"/>
      <c r="G166" s="348"/>
      <c r="H166" s="227"/>
      <c r="I166" s="227"/>
      <c r="J166" s="348"/>
      <c r="K166" s="348"/>
      <c r="L166" s="348"/>
      <c r="M166" s="348"/>
      <c r="N166" s="348"/>
      <c r="O166" s="348"/>
      <c r="P166" s="348"/>
    </row>
    <row r="167" spans="1:16" ht="12.75">
      <c r="A167" s="346"/>
      <c r="B167" s="347"/>
      <c r="C167" s="346"/>
      <c r="D167" s="215"/>
      <c r="E167" s="348"/>
      <c r="F167" s="348"/>
      <c r="G167" s="348"/>
      <c r="H167" s="227"/>
      <c r="I167" s="227"/>
      <c r="J167" s="348"/>
      <c r="K167" s="348"/>
      <c r="L167" s="348"/>
      <c r="M167" s="348"/>
      <c r="N167" s="348"/>
      <c r="O167" s="348"/>
      <c r="P167" s="348"/>
    </row>
    <row r="168" spans="1:16" ht="12.75">
      <c r="A168" s="346"/>
      <c r="B168" s="347"/>
      <c r="C168" s="346"/>
      <c r="D168" s="215"/>
      <c r="E168" s="348"/>
      <c r="F168" s="348"/>
      <c r="G168" s="348"/>
      <c r="H168" s="227"/>
      <c r="I168" s="227"/>
      <c r="J168" s="348"/>
      <c r="K168" s="348"/>
      <c r="L168" s="348"/>
      <c r="M168" s="348"/>
      <c r="N168" s="348"/>
      <c r="O168" s="348"/>
      <c r="P168" s="348"/>
    </row>
    <row r="169" spans="1:16" ht="12.75">
      <c r="A169" s="346"/>
      <c r="B169" s="347"/>
      <c r="C169" s="346"/>
      <c r="D169" s="215"/>
      <c r="E169" s="348"/>
      <c r="F169" s="348"/>
      <c r="G169" s="348"/>
      <c r="H169" s="227"/>
      <c r="I169" s="227"/>
      <c r="J169" s="348"/>
      <c r="K169" s="348"/>
      <c r="L169" s="348"/>
      <c r="M169" s="348"/>
      <c r="N169" s="348"/>
      <c r="O169" s="348"/>
      <c r="P169" s="348"/>
    </row>
    <row r="170" spans="1:16" ht="12.75">
      <c r="A170" s="346"/>
      <c r="B170" s="347"/>
      <c r="C170" s="346"/>
      <c r="D170" s="215"/>
      <c r="E170" s="348"/>
      <c r="F170" s="348"/>
      <c r="G170" s="348"/>
      <c r="H170" s="227"/>
      <c r="I170" s="227"/>
      <c r="J170" s="348"/>
      <c r="K170" s="348"/>
      <c r="L170" s="348"/>
      <c r="M170" s="348"/>
      <c r="N170" s="348"/>
      <c r="O170" s="348"/>
      <c r="P170" s="348"/>
    </row>
    <row r="171" spans="1:16" ht="12.75">
      <c r="A171" s="346"/>
      <c r="B171" s="347"/>
      <c r="C171" s="346"/>
      <c r="D171" s="215"/>
      <c r="E171" s="348"/>
      <c r="F171" s="348"/>
      <c r="G171" s="348"/>
      <c r="H171" s="227"/>
      <c r="I171" s="227"/>
      <c r="J171" s="348"/>
      <c r="K171" s="348"/>
      <c r="L171" s="348"/>
      <c r="M171" s="348"/>
      <c r="N171" s="348"/>
      <c r="O171" s="348"/>
      <c r="P171" s="348"/>
    </row>
    <row r="172" spans="1:16" ht="12.75">
      <c r="A172" s="346"/>
      <c r="B172" s="347"/>
      <c r="C172" s="346"/>
      <c r="D172" s="215"/>
      <c r="E172" s="348"/>
      <c r="F172" s="348"/>
      <c r="G172" s="348"/>
      <c r="H172" s="227"/>
      <c r="I172" s="227"/>
      <c r="J172" s="348"/>
      <c r="K172" s="348"/>
      <c r="L172" s="348"/>
      <c r="M172" s="348"/>
      <c r="N172" s="348"/>
      <c r="O172" s="348"/>
      <c r="P172" s="348"/>
    </row>
    <row r="173" spans="1:16" ht="12.75">
      <c r="A173" s="346"/>
      <c r="B173" s="347"/>
      <c r="C173" s="346"/>
      <c r="D173" s="215"/>
      <c r="E173" s="348"/>
      <c r="F173" s="348"/>
      <c r="G173" s="348"/>
      <c r="H173" s="227"/>
      <c r="I173" s="227"/>
      <c r="J173" s="348"/>
      <c r="K173" s="348"/>
      <c r="L173" s="348"/>
      <c r="M173" s="348"/>
      <c r="N173" s="348"/>
      <c r="O173" s="348"/>
      <c r="P173" s="348"/>
    </row>
    <row r="174" spans="1:16" ht="12.75">
      <c r="A174" s="346"/>
      <c r="B174" s="347"/>
      <c r="C174" s="346"/>
      <c r="D174" s="215"/>
      <c r="E174" s="348"/>
      <c r="F174" s="348"/>
      <c r="G174" s="348"/>
      <c r="H174" s="227"/>
      <c r="I174" s="227"/>
      <c r="J174" s="348"/>
      <c r="K174" s="348"/>
      <c r="L174" s="348"/>
      <c r="M174" s="348"/>
      <c r="N174" s="348"/>
      <c r="O174" s="348"/>
      <c r="P174" s="348"/>
    </row>
    <row r="175" spans="1:16" ht="12.75">
      <c r="A175" s="346"/>
      <c r="B175" s="347"/>
      <c r="C175" s="346"/>
      <c r="D175" s="215"/>
      <c r="E175" s="348"/>
      <c r="F175" s="348"/>
      <c r="G175" s="348"/>
      <c r="H175" s="227"/>
      <c r="I175" s="227"/>
      <c r="J175" s="348"/>
      <c r="K175" s="348"/>
      <c r="L175" s="348"/>
      <c r="M175" s="348"/>
      <c r="N175" s="348"/>
      <c r="O175" s="348"/>
      <c r="P175" s="348"/>
    </row>
    <row r="176" spans="1:16" ht="12.75">
      <c r="A176" s="346"/>
      <c r="B176" s="347"/>
      <c r="C176" s="346"/>
      <c r="D176" s="215"/>
      <c r="E176" s="348"/>
      <c r="F176" s="348"/>
      <c r="G176" s="348"/>
      <c r="H176" s="227"/>
      <c r="I176" s="227"/>
      <c r="J176" s="348"/>
      <c r="K176" s="348"/>
      <c r="L176" s="348"/>
      <c r="M176" s="348"/>
      <c r="N176" s="348"/>
      <c r="O176" s="348"/>
      <c r="P176" s="348"/>
    </row>
    <row r="177" spans="1:16" ht="12.75">
      <c r="A177" s="346"/>
      <c r="B177" s="347"/>
      <c r="C177" s="346"/>
      <c r="D177" s="215"/>
      <c r="E177" s="348"/>
      <c r="F177" s="348"/>
      <c r="G177" s="348"/>
      <c r="H177" s="227"/>
      <c r="I177" s="227"/>
      <c r="J177" s="348"/>
      <c r="K177" s="348"/>
      <c r="L177" s="348"/>
      <c r="M177" s="348"/>
      <c r="N177" s="348"/>
      <c r="O177" s="348"/>
      <c r="P177" s="348"/>
    </row>
    <row r="178" spans="1:16" ht="12.75">
      <c r="A178" s="346"/>
      <c r="B178" s="347"/>
      <c r="C178" s="346"/>
      <c r="D178" s="215"/>
      <c r="E178" s="348"/>
      <c r="F178" s="348"/>
      <c r="G178" s="348"/>
      <c r="H178" s="227"/>
      <c r="I178" s="227"/>
      <c r="J178" s="348"/>
      <c r="K178" s="348"/>
      <c r="L178" s="348"/>
      <c r="M178" s="348"/>
      <c r="N178" s="348"/>
      <c r="O178" s="348"/>
      <c r="P178" s="348"/>
    </row>
  </sheetData>
  <sheetProtection selectLockedCells="1" selectUnlockedCells="1"/>
  <mergeCells count="20">
    <mergeCell ref="A7:B7"/>
    <mergeCell ref="C48:G48"/>
    <mergeCell ref="K48:P48"/>
    <mergeCell ref="I50:J50"/>
    <mergeCell ref="F10:K10"/>
    <mergeCell ref="L10:P10"/>
    <mergeCell ref="C42:K42"/>
    <mergeCell ref="C43:K43"/>
    <mergeCell ref="D10:D11"/>
    <mergeCell ref="E10:E11"/>
    <mergeCell ref="A47:B47"/>
    <mergeCell ref="I47:J47"/>
    <mergeCell ref="A1:P1"/>
    <mergeCell ref="A2:P2"/>
    <mergeCell ref="M8:N8"/>
    <mergeCell ref="O8:P8"/>
    <mergeCell ref="G9:H9"/>
    <mergeCell ref="A10:A11"/>
    <mergeCell ref="B10:B11"/>
    <mergeCell ref="C10:C11"/>
  </mergeCells>
  <printOptions horizontalCentered="1"/>
  <pageMargins left="0.2902777777777778" right="0.2298611111111111" top="0.6770833333333334" bottom="0.5902777777777778" header="0.5118055555555555" footer="0.19652777777777777"/>
  <pageSetup firstPageNumber="1" useFirstPageNumber="1" horizontalDpi="300" verticalDpi="300" orientation="landscape" paperSize="9" scale="61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Q180"/>
  <sheetViews>
    <sheetView showZeros="0" view="pageBreakPreview" zoomScale="70" zoomScaleNormal="55" zoomScaleSheetLayoutView="70" zoomScalePageLayoutView="0" workbookViewId="0" topLeftCell="A1">
      <selection activeCell="A7" sqref="A7:IV7"/>
    </sheetView>
  </sheetViews>
  <sheetFormatPr defaultColWidth="37" defaultRowHeight="15.75"/>
  <cols>
    <col min="1" max="1" width="4.796875" style="225" customWidth="1"/>
    <col min="2" max="2" width="10.3984375" style="226" customWidth="1"/>
    <col min="3" max="3" width="29.59765625" style="187" customWidth="1"/>
    <col min="4" max="4" width="6.19921875" style="227" customWidth="1"/>
    <col min="5" max="5" width="10.8984375" style="225" customWidth="1"/>
    <col min="6" max="6" width="6" style="187" customWidth="1"/>
    <col min="7" max="7" width="7.59765625" style="187" customWidth="1"/>
    <col min="8" max="8" width="8.59765625" style="228" customWidth="1"/>
    <col min="9" max="9" width="9.09765625" style="228" customWidth="1"/>
    <col min="10" max="10" width="7.796875" style="187" customWidth="1"/>
    <col min="11" max="11" width="11" style="187" customWidth="1"/>
    <col min="12" max="12" width="10.8984375" style="187" customWidth="1"/>
    <col min="13" max="13" width="11.59765625" style="187" customWidth="1"/>
    <col min="14" max="14" width="12" style="187" customWidth="1"/>
    <col min="15" max="15" width="11.3984375" style="187" customWidth="1"/>
    <col min="16" max="16" width="11.59765625" style="187" customWidth="1"/>
    <col min="17" max="33" width="11.296875" style="187" customWidth="1"/>
    <col min="34" max="16384" width="37" style="187" customWidth="1"/>
  </cols>
  <sheetData>
    <row r="1" spans="1:16" ht="19.5" customHeight="1">
      <c r="A1" s="425" t="s">
        <v>722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</row>
    <row r="2" spans="1:16" ht="19.5" customHeight="1">
      <c r="A2" s="426" t="s">
        <v>723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</row>
    <row r="3" spans="1:16" ht="19.5" customHeight="1">
      <c r="A3" s="188" t="str">
        <f>'1-3 (1)'!A3</f>
        <v>Būves nosaukums:     Tautas nama "Kalngravas" rekonstrukcija- 2. kārta </v>
      </c>
      <c r="B3" s="188"/>
      <c r="C3" s="189"/>
      <c r="D3" s="190"/>
      <c r="E3" s="190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6" ht="19.5" customHeight="1">
      <c r="A4" s="188" t="str">
        <f>'1-3 (1)'!A4</f>
        <v>Objekta nosaukums:  Tautas nama "Kalngravas" rekonstrukcija</v>
      </c>
      <c r="B4" s="188"/>
      <c r="C4" s="189"/>
      <c r="D4" s="190"/>
      <c r="E4" s="190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</row>
    <row r="5" spans="1:16" ht="19.5" customHeight="1">
      <c r="A5" s="188" t="str">
        <f>'1-3 (1)'!A5</f>
        <v>Būves adrese:  Kalngravas 1, Sarkaņu pagasts, Madonas novads</v>
      </c>
      <c r="B5" s="188"/>
      <c r="C5" s="189"/>
      <c r="D5" s="190"/>
      <c r="E5" s="190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</row>
    <row r="6" spans="1:16" ht="19.5" customHeight="1">
      <c r="A6" s="188" t="str">
        <f>'1-3 (1)'!A6</f>
        <v>Pasūtījuma Nr.: </v>
      </c>
      <c r="B6" s="188"/>
      <c r="C6" s="192" t="s">
        <v>845</v>
      </c>
      <c r="D6" s="190"/>
      <c r="E6" s="190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</row>
    <row r="7" spans="1:8" s="4" customFormat="1" ht="25.5" customHeight="1">
      <c r="A7" s="391" t="s">
        <v>852</v>
      </c>
      <c r="B7" s="391"/>
      <c r="C7" s="386"/>
      <c r="D7" s="386"/>
      <c r="E7" s="386"/>
      <c r="F7" s="386"/>
      <c r="G7" s="386"/>
      <c r="H7" s="386"/>
    </row>
    <row r="8" spans="1:16" ht="19.5" customHeight="1">
      <c r="A8" s="53" t="s">
        <v>853</v>
      </c>
      <c r="B8" s="188"/>
      <c r="C8" s="189"/>
      <c r="D8" s="190"/>
      <c r="E8" s="190"/>
      <c r="F8" s="191"/>
      <c r="G8" s="191"/>
      <c r="H8" s="191"/>
      <c r="I8" s="191"/>
      <c r="J8" s="191"/>
      <c r="K8" s="191"/>
      <c r="L8" s="191"/>
      <c r="M8" s="427" t="s">
        <v>47</v>
      </c>
      <c r="N8" s="427"/>
      <c r="O8" s="428">
        <f>P45</f>
        <v>0</v>
      </c>
      <c r="P8" s="428"/>
    </row>
    <row r="9" spans="1:16" ht="15" customHeight="1">
      <c r="A9" s="193"/>
      <c r="B9" s="193"/>
      <c r="C9" s="194"/>
      <c r="D9" s="195"/>
      <c r="E9" s="196"/>
      <c r="F9" s="197"/>
      <c r="G9" s="451"/>
      <c r="H9" s="451"/>
      <c r="I9" s="197"/>
      <c r="J9" s="197"/>
      <c r="K9" s="196"/>
      <c r="L9" s="280"/>
      <c r="M9" s="196"/>
      <c r="N9" s="197"/>
      <c r="O9" s="197"/>
      <c r="P9" s="197"/>
    </row>
    <row r="10" spans="1:16" ht="19.5" customHeight="1">
      <c r="A10" s="429" t="s">
        <v>4</v>
      </c>
      <c r="B10" s="429" t="s">
        <v>48</v>
      </c>
      <c r="C10" s="430" t="s">
        <v>49</v>
      </c>
      <c r="D10" s="429" t="s">
        <v>50</v>
      </c>
      <c r="E10" s="429" t="s">
        <v>51</v>
      </c>
      <c r="F10" s="431" t="s">
        <v>52</v>
      </c>
      <c r="G10" s="431"/>
      <c r="H10" s="431"/>
      <c r="I10" s="431"/>
      <c r="J10" s="431"/>
      <c r="K10" s="431"/>
      <c r="L10" s="431" t="s">
        <v>53</v>
      </c>
      <c r="M10" s="431"/>
      <c r="N10" s="431"/>
      <c r="O10" s="431"/>
      <c r="P10" s="431"/>
    </row>
    <row r="11" spans="1:16" ht="99.75" customHeight="1">
      <c r="A11" s="429"/>
      <c r="B11" s="429"/>
      <c r="C11" s="430"/>
      <c r="D11" s="429"/>
      <c r="E11" s="429"/>
      <c r="F11" s="26" t="s">
        <v>54</v>
      </c>
      <c r="G11" s="26" t="s">
        <v>55</v>
      </c>
      <c r="H11" s="26" t="s">
        <v>56</v>
      </c>
      <c r="I11" s="26" t="s">
        <v>57</v>
      </c>
      <c r="J11" s="26" t="s">
        <v>58</v>
      </c>
      <c r="K11" s="26" t="s">
        <v>59</v>
      </c>
      <c r="L11" s="26" t="s">
        <v>60</v>
      </c>
      <c r="M11" s="26" t="s">
        <v>56</v>
      </c>
      <c r="N11" s="26" t="s">
        <v>57</v>
      </c>
      <c r="O11" s="26" t="s">
        <v>58</v>
      </c>
      <c r="P11" s="26" t="s">
        <v>61</v>
      </c>
    </row>
    <row r="12" spans="1:16" s="207" customFormat="1" ht="33" customHeight="1">
      <c r="A12" s="198">
        <v>1</v>
      </c>
      <c r="B12" s="198"/>
      <c r="C12" s="356" t="s">
        <v>724</v>
      </c>
      <c r="D12" s="202"/>
      <c r="E12" s="203"/>
      <c r="F12" s="204"/>
      <c r="G12" s="205"/>
      <c r="H12" s="205"/>
      <c r="I12" s="205"/>
      <c r="J12" s="205"/>
      <c r="K12" s="205"/>
      <c r="L12" s="205"/>
      <c r="M12" s="205"/>
      <c r="N12" s="205"/>
      <c r="O12" s="205"/>
      <c r="P12" s="205"/>
    </row>
    <row r="13" spans="1:16" s="207" customFormat="1" ht="33" customHeight="1">
      <c r="A13" s="198">
        <v>2</v>
      </c>
      <c r="B13" s="200" t="s">
        <v>725</v>
      </c>
      <c r="C13" s="357" t="s">
        <v>726</v>
      </c>
      <c r="D13" s="202" t="s">
        <v>727</v>
      </c>
      <c r="E13" s="358">
        <v>1</v>
      </c>
      <c r="F13" s="204"/>
      <c r="G13" s="205"/>
      <c r="H13" s="205"/>
      <c r="I13" s="205"/>
      <c r="J13" s="205"/>
      <c r="K13" s="205"/>
      <c r="L13" s="205"/>
      <c r="M13" s="205"/>
      <c r="N13" s="205"/>
      <c r="O13" s="205"/>
      <c r="P13" s="205"/>
    </row>
    <row r="14" spans="1:16" s="207" customFormat="1" ht="33" customHeight="1">
      <c r="A14" s="198">
        <v>3</v>
      </c>
      <c r="B14" s="200" t="s">
        <v>728</v>
      </c>
      <c r="C14" s="357" t="s">
        <v>729</v>
      </c>
      <c r="D14" s="202" t="s">
        <v>64</v>
      </c>
      <c r="E14" s="358">
        <v>1</v>
      </c>
      <c r="F14" s="204"/>
      <c r="G14" s="205"/>
      <c r="H14" s="205"/>
      <c r="I14" s="205"/>
      <c r="J14" s="205"/>
      <c r="K14" s="205"/>
      <c r="L14" s="205"/>
      <c r="M14" s="205"/>
      <c r="N14" s="205"/>
      <c r="O14" s="205"/>
      <c r="P14" s="205"/>
    </row>
    <row r="15" spans="1:16" s="207" customFormat="1" ht="33" customHeight="1">
      <c r="A15" s="198">
        <v>4</v>
      </c>
      <c r="B15" s="200" t="s">
        <v>730</v>
      </c>
      <c r="C15" s="357" t="s">
        <v>731</v>
      </c>
      <c r="D15" s="202" t="s">
        <v>64</v>
      </c>
      <c r="E15" s="203">
        <v>2</v>
      </c>
      <c r="F15" s="204"/>
      <c r="G15" s="205"/>
      <c r="H15" s="205"/>
      <c r="I15" s="205"/>
      <c r="J15" s="205"/>
      <c r="K15" s="205"/>
      <c r="L15" s="205"/>
      <c r="M15" s="205"/>
      <c r="N15" s="205"/>
      <c r="O15" s="205"/>
      <c r="P15" s="205"/>
    </row>
    <row r="16" spans="1:16" s="207" customFormat="1" ht="33" customHeight="1">
      <c r="A16" s="198">
        <v>5</v>
      </c>
      <c r="B16" s="200" t="s">
        <v>732</v>
      </c>
      <c r="C16" s="233" t="s">
        <v>733</v>
      </c>
      <c r="D16" s="202" t="s">
        <v>420</v>
      </c>
      <c r="E16" s="203">
        <v>50</v>
      </c>
      <c r="F16" s="204"/>
      <c r="G16" s="205"/>
      <c r="H16" s="205"/>
      <c r="I16" s="205"/>
      <c r="J16" s="205"/>
      <c r="K16" s="205"/>
      <c r="L16" s="205"/>
      <c r="M16" s="205"/>
      <c r="N16" s="205"/>
      <c r="O16" s="205"/>
      <c r="P16" s="205"/>
    </row>
    <row r="17" spans="1:16" s="207" customFormat="1" ht="33" customHeight="1">
      <c r="A17" s="198">
        <v>6</v>
      </c>
      <c r="B17" s="200" t="s">
        <v>734</v>
      </c>
      <c r="C17" s="233" t="s">
        <v>735</v>
      </c>
      <c r="D17" s="202" t="s">
        <v>420</v>
      </c>
      <c r="E17" s="203">
        <v>50</v>
      </c>
      <c r="F17" s="204"/>
      <c r="G17" s="205"/>
      <c r="H17" s="205"/>
      <c r="I17" s="205"/>
      <c r="J17" s="205"/>
      <c r="K17" s="205"/>
      <c r="L17" s="205"/>
      <c r="M17" s="205"/>
      <c r="N17" s="205"/>
      <c r="O17" s="205"/>
      <c r="P17" s="205"/>
    </row>
    <row r="18" spans="1:16" s="207" customFormat="1" ht="33" customHeight="1">
      <c r="A18" s="198">
        <v>7</v>
      </c>
      <c r="B18" s="200" t="s">
        <v>736</v>
      </c>
      <c r="C18" s="233" t="s">
        <v>737</v>
      </c>
      <c r="D18" s="202" t="s">
        <v>420</v>
      </c>
      <c r="E18" s="203">
        <v>300</v>
      </c>
      <c r="F18" s="204"/>
      <c r="G18" s="205"/>
      <c r="H18" s="205"/>
      <c r="I18" s="205"/>
      <c r="J18" s="205"/>
      <c r="K18" s="205"/>
      <c r="L18" s="205"/>
      <c r="M18" s="205"/>
      <c r="N18" s="205"/>
      <c r="O18" s="205"/>
      <c r="P18" s="205"/>
    </row>
    <row r="19" spans="1:16" s="207" customFormat="1" ht="33" customHeight="1">
      <c r="A19" s="198">
        <v>8</v>
      </c>
      <c r="B19" s="200" t="s">
        <v>738</v>
      </c>
      <c r="C19" s="357" t="s">
        <v>739</v>
      </c>
      <c r="D19" s="202" t="s">
        <v>727</v>
      </c>
      <c r="E19" s="358">
        <v>1</v>
      </c>
      <c r="F19" s="204"/>
      <c r="G19" s="205"/>
      <c r="H19" s="205"/>
      <c r="I19" s="205"/>
      <c r="J19" s="205"/>
      <c r="K19" s="205"/>
      <c r="L19" s="205"/>
      <c r="M19" s="205"/>
      <c r="N19" s="205"/>
      <c r="O19" s="205"/>
      <c r="P19" s="205"/>
    </row>
    <row r="20" spans="1:16" s="207" customFormat="1" ht="33" customHeight="1">
      <c r="A20" s="198">
        <v>9</v>
      </c>
      <c r="B20" s="198"/>
      <c r="C20" s="356" t="s">
        <v>740</v>
      </c>
      <c r="D20" s="202"/>
      <c r="E20" s="203"/>
      <c r="F20" s="204"/>
      <c r="G20" s="205"/>
      <c r="H20" s="205"/>
      <c r="I20" s="205"/>
      <c r="J20" s="205"/>
      <c r="K20" s="205"/>
      <c r="L20" s="205"/>
      <c r="M20" s="205"/>
      <c r="N20" s="205"/>
      <c r="O20" s="205"/>
      <c r="P20" s="205"/>
    </row>
    <row r="21" spans="1:16" s="207" customFormat="1" ht="33" customHeight="1">
      <c r="A21" s="198">
        <v>10</v>
      </c>
      <c r="B21" s="200" t="s">
        <v>741</v>
      </c>
      <c r="C21" s="233" t="s">
        <v>742</v>
      </c>
      <c r="D21" s="202" t="s">
        <v>420</v>
      </c>
      <c r="E21" s="203">
        <v>30</v>
      </c>
      <c r="F21" s="204"/>
      <c r="G21" s="205"/>
      <c r="H21" s="205"/>
      <c r="I21" s="205"/>
      <c r="J21" s="205"/>
      <c r="K21" s="205"/>
      <c r="L21" s="205"/>
      <c r="M21" s="205"/>
      <c r="N21" s="205"/>
      <c r="O21" s="205"/>
      <c r="P21" s="205"/>
    </row>
    <row r="22" spans="1:16" s="207" customFormat="1" ht="33" customHeight="1">
      <c r="A22" s="198">
        <v>11</v>
      </c>
      <c r="B22" s="200" t="s">
        <v>743</v>
      </c>
      <c r="C22" s="233" t="s">
        <v>744</v>
      </c>
      <c r="D22" s="202" t="s">
        <v>420</v>
      </c>
      <c r="E22" s="203">
        <v>240</v>
      </c>
      <c r="F22" s="204"/>
      <c r="G22" s="205"/>
      <c r="H22" s="205"/>
      <c r="I22" s="205"/>
      <c r="J22" s="205"/>
      <c r="K22" s="205"/>
      <c r="L22" s="205"/>
      <c r="M22" s="205"/>
      <c r="N22" s="205"/>
      <c r="O22" s="205"/>
      <c r="P22" s="205"/>
    </row>
    <row r="23" spans="1:16" s="207" customFormat="1" ht="33" customHeight="1">
      <c r="A23" s="198">
        <v>12</v>
      </c>
      <c r="B23" s="198"/>
      <c r="C23" s="356" t="s">
        <v>745</v>
      </c>
      <c r="D23" s="202"/>
      <c r="E23" s="203"/>
      <c r="F23" s="204"/>
      <c r="G23" s="205"/>
      <c r="H23" s="205"/>
      <c r="I23" s="205"/>
      <c r="J23" s="205"/>
      <c r="K23" s="205"/>
      <c r="L23" s="205"/>
      <c r="M23" s="205"/>
      <c r="N23" s="205"/>
      <c r="O23" s="205"/>
      <c r="P23" s="205"/>
    </row>
    <row r="24" spans="1:16" s="207" customFormat="1" ht="33" customHeight="1">
      <c r="A24" s="198">
        <v>13</v>
      </c>
      <c r="B24" s="200" t="s">
        <v>746</v>
      </c>
      <c r="C24" s="233" t="s">
        <v>747</v>
      </c>
      <c r="D24" s="202" t="s">
        <v>64</v>
      </c>
      <c r="E24" s="203">
        <v>9</v>
      </c>
      <c r="F24" s="204"/>
      <c r="G24" s="205"/>
      <c r="H24" s="205"/>
      <c r="I24" s="205"/>
      <c r="J24" s="205"/>
      <c r="K24" s="205"/>
      <c r="L24" s="205"/>
      <c r="M24" s="205"/>
      <c r="N24" s="205"/>
      <c r="O24" s="205"/>
      <c r="P24" s="205"/>
    </row>
    <row r="25" spans="1:16" s="207" customFormat="1" ht="33" customHeight="1">
      <c r="A25" s="198">
        <v>14</v>
      </c>
      <c r="B25" s="200" t="s">
        <v>748</v>
      </c>
      <c r="C25" s="233" t="s">
        <v>749</v>
      </c>
      <c r="D25" s="202" t="s">
        <v>727</v>
      </c>
      <c r="E25" s="203">
        <v>18</v>
      </c>
      <c r="F25" s="204"/>
      <c r="G25" s="205"/>
      <c r="H25" s="205"/>
      <c r="I25" s="205"/>
      <c r="J25" s="205"/>
      <c r="K25" s="205"/>
      <c r="L25" s="205"/>
      <c r="M25" s="205"/>
      <c r="N25" s="205"/>
      <c r="O25" s="205"/>
      <c r="P25" s="205"/>
    </row>
    <row r="26" spans="1:16" s="207" customFormat="1" ht="33" customHeight="1">
      <c r="A26" s="198">
        <v>15</v>
      </c>
      <c r="B26" s="200" t="s">
        <v>750</v>
      </c>
      <c r="C26" s="233" t="s">
        <v>751</v>
      </c>
      <c r="D26" s="202" t="s">
        <v>65</v>
      </c>
      <c r="E26" s="203">
        <v>15</v>
      </c>
      <c r="F26" s="204"/>
      <c r="G26" s="205"/>
      <c r="H26" s="205"/>
      <c r="I26" s="205"/>
      <c r="J26" s="205"/>
      <c r="K26" s="205"/>
      <c r="L26" s="205"/>
      <c r="M26" s="205"/>
      <c r="N26" s="205"/>
      <c r="O26" s="205"/>
      <c r="P26" s="205"/>
    </row>
    <row r="27" spans="1:16" s="207" customFormat="1" ht="33" customHeight="1">
      <c r="A27" s="198">
        <v>16</v>
      </c>
      <c r="B27" s="200" t="s">
        <v>752</v>
      </c>
      <c r="C27" s="233" t="s">
        <v>753</v>
      </c>
      <c r="D27" s="202" t="s">
        <v>420</v>
      </c>
      <c r="E27" s="203">
        <v>225</v>
      </c>
      <c r="F27" s="204"/>
      <c r="G27" s="205"/>
      <c r="H27" s="205"/>
      <c r="I27" s="205"/>
      <c r="J27" s="205"/>
      <c r="K27" s="205"/>
      <c r="L27" s="205"/>
      <c r="M27" s="205"/>
      <c r="N27" s="205"/>
      <c r="O27" s="205"/>
      <c r="P27" s="205"/>
    </row>
    <row r="28" spans="1:16" s="207" customFormat="1" ht="33" customHeight="1">
      <c r="A28" s="198">
        <v>17</v>
      </c>
      <c r="B28" s="200" t="s">
        <v>754</v>
      </c>
      <c r="C28" s="233" t="s">
        <v>755</v>
      </c>
      <c r="D28" s="202" t="s">
        <v>420</v>
      </c>
      <c r="E28" s="203">
        <v>160</v>
      </c>
      <c r="F28" s="204"/>
      <c r="G28" s="205"/>
      <c r="H28" s="205"/>
      <c r="I28" s="205"/>
      <c r="J28" s="205"/>
      <c r="K28" s="205"/>
      <c r="L28" s="205"/>
      <c r="M28" s="205"/>
      <c r="N28" s="205"/>
      <c r="O28" s="205"/>
      <c r="P28" s="205"/>
    </row>
    <row r="29" spans="1:16" s="207" customFormat="1" ht="33" customHeight="1">
      <c r="A29" s="198">
        <v>18</v>
      </c>
      <c r="B29" s="200" t="s">
        <v>756</v>
      </c>
      <c r="C29" s="233" t="s">
        <v>757</v>
      </c>
      <c r="D29" s="202" t="s">
        <v>447</v>
      </c>
      <c r="E29" s="203">
        <v>12</v>
      </c>
      <c r="F29" s="204"/>
      <c r="G29" s="205"/>
      <c r="H29" s="205"/>
      <c r="I29" s="205"/>
      <c r="J29" s="205"/>
      <c r="K29" s="205"/>
      <c r="L29" s="205"/>
      <c r="M29" s="205"/>
      <c r="N29" s="205"/>
      <c r="O29" s="205"/>
      <c r="P29" s="205"/>
    </row>
    <row r="30" spans="1:16" s="207" customFormat="1" ht="33" customHeight="1">
      <c r="A30" s="198">
        <v>19</v>
      </c>
      <c r="B30" s="200" t="s">
        <v>758</v>
      </c>
      <c r="C30" s="233" t="s">
        <v>759</v>
      </c>
      <c r="D30" s="202" t="s">
        <v>760</v>
      </c>
      <c r="E30" s="203">
        <v>0.7</v>
      </c>
      <c r="F30" s="359"/>
      <c r="G30" s="205"/>
      <c r="H30" s="360"/>
      <c r="I30" s="360"/>
      <c r="J30" s="360"/>
      <c r="K30" s="360"/>
      <c r="L30" s="360"/>
      <c r="M30" s="360"/>
      <c r="N30" s="360"/>
      <c r="O30" s="360"/>
      <c r="P30" s="360"/>
    </row>
    <row r="31" spans="1:16" s="207" customFormat="1" ht="33" customHeight="1">
      <c r="A31" s="198">
        <v>20</v>
      </c>
      <c r="B31" s="200" t="s">
        <v>761</v>
      </c>
      <c r="C31" s="233" t="s">
        <v>762</v>
      </c>
      <c r="D31" s="202" t="s">
        <v>420</v>
      </c>
      <c r="E31" s="203">
        <v>10</v>
      </c>
      <c r="F31" s="204"/>
      <c r="G31" s="205"/>
      <c r="H31" s="205"/>
      <c r="I31" s="205"/>
      <c r="J31" s="205"/>
      <c r="K31" s="205"/>
      <c r="L31" s="205"/>
      <c r="M31" s="205"/>
      <c r="N31" s="205"/>
      <c r="O31" s="205"/>
      <c r="P31" s="205"/>
    </row>
    <row r="32" spans="1:16" s="207" customFormat="1" ht="33" customHeight="1">
      <c r="A32" s="198">
        <v>21</v>
      </c>
      <c r="B32" s="200" t="s">
        <v>763</v>
      </c>
      <c r="C32" s="233" t="s">
        <v>764</v>
      </c>
      <c r="D32" s="202" t="s">
        <v>420</v>
      </c>
      <c r="E32" s="203">
        <v>30</v>
      </c>
      <c r="F32" s="204"/>
      <c r="G32" s="205"/>
      <c r="H32" s="205"/>
      <c r="I32" s="205"/>
      <c r="J32" s="205"/>
      <c r="K32" s="205"/>
      <c r="L32" s="205"/>
      <c r="M32" s="205"/>
      <c r="N32" s="205"/>
      <c r="O32" s="205"/>
      <c r="P32" s="205"/>
    </row>
    <row r="33" spans="1:16" s="207" customFormat="1" ht="33" customHeight="1">
      <c r="A33" s="198">
        <v>22</v>
      </c>
      <c r="B33" s="198"/>
      <c r="C33" s="356" t="s">
        <v>765</v>
      </c>
      <c r="D33" s="202"/>
      <c r="E33" s="203"/>
      <c r="F33" s="204"/>
      <c r="G33" s="205"/>
      <c r="H33" s="205"/>
      <c r="I33" s="205"/>
      <c r="J33" s="205"/>
      <c r="K33" s="205"/>
      <c r="L33" s="205"/>
      <c r="M33" s="205"/>
      <c r="N33" s="205"/>
      <c r="O33" s="205"/>
      <c r="P33" s="205"/>
    </row>
    <row r="34" spans="1:16" s="207" customFormat="1" ht="33" customHeight="1">
      <c r="A34" s="198">
        <v>23</v>
      </c>
      <c r="B34" s="200" t="s">
        <v>766</v>
      </c>
      <c r="C34" s="63" t="s">
        <v>767</v>
      </c>
      <c r="D34" s="64" t="s">
        <v>64</v>
      </c>
      <c r="E34" s="203">
        <v>2</v>
      </c>
      <c r="F34" s="66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1:16" s="207" customFormat="1" ht="33" customHeight="1">
      <c r="A35" s="198">
        <v>24</v>
      </c>
      <c r="B35" s="361" t="s">
        <v>768</v>
      </c>
      <c r="C35" s="63" t="s">
        <v>769</v>
      </c>
      <c r="D35" s="202" t="s">
        <v>64</v>
      </c>
      <c r="E35" s="203">
        <v>10</v>
      </c>
      <c r="F35" s="362"/>
      <c r="G35" s="67"/>
      <c r="H35" s="205"/>
      <c r="I35" s="205"/>
      <c r="J35" s="205"/>
      <c r="K35" s="205"/>
      <c r="L35" s="205"/>
      <c r="M35" s="205"/>
      <c r="N35" s="205"/>
      <c r="O35" s="205"/>
      <c r="P35" s="205"/>
    </row>
    <row r="36" spans="1:16" s="207" customFormat="1" ht="33" customHeight="1">
      <c r="A36" s="198">
        <v>25</v>
      </c>
      <c r="B36" s="361" t="s">
        <v>770</v>
      </c>
      <c r="C36" s="363" t="s">
        <v>739</v>
      </c>
      <c r="D36" s="202" t="s">
        <v>64</v>
      </c>
      <c r="E36" s="203">
        <v>1</v>
      </c>
      <c r="F36" s="362"/>
      <c r="G36" s="67"/>
      <c r="H36" s="205"/>
      <c r="I36" s="205"/>
      <c r="J36" s="205"/>
      <c r="K36" s="205"/>
      <c r="L36" s="205"/>
      <c r="M36" s="205"/>
      <c r="N36" s="205"/>
      <c r="O36" s="205"/>
      <c r="P36" s="205"/>
    </row>
    <row r="37" spans="1:16" s="207" customFormat="1" ht="33" customHeight="1">
      <c r="A37" s="198">
        <v>26</v>
      </c>
      <c r="B37" s="198"/>
      <c r="C37" s="364" t="s">
        <v>531</v>
      </c>
      <c r="D37" s="326"/>
      <c r="E37" s="365"/>
      <c r="F37" s="204"/>
      <c r="G37" s="205"/>
      <c r="H37" s="205"/>
      <c r="I37" s="205"/>
      <c r="J37" s="205"/>
      <c r="K37" s="205"/>
      <c r="L37" s="205"/>
      <c r="M37" s="205"/>
      <c r="N37" s="205"/>
      <c r="O37" s="205"/>
      <c r="P37" s="205"/>
    </row>
    <row r="38" spans="1:16" s="207" customFormat="1" ht="33" customHeight="1">
      <c r="A38" s="198">
        <v>27</v>
      </c>
      <c r="B38" s="200" t="s">
        <v>771</v>
      </c>
      <c r="C38" s="233" t="s">
        <v>772</v>
      </c>
      <c r="D38" s="202" t="s">
        <v>64</v>
      </c>
      <c r="E38" s="203">
        <v>3</v>
      </c>
      <c r="F38" s="204"/>
      <c r="G38" s="205"/>
      <c r="H38" s="205"/>
      <c r="I38" s="205"/>
      <c r="J38" s="205"/>
      <c r="K38" s="205"/>
      <c r="L38" s="205"/>
      <c r="M38" s="205"/>
      <c r="N38" s="205"/>
      <c r="O38" s="205"/>
      <c r="P38" s="205"/>
    </row>
    <row r="39" spans="1:16" s="207" customFormat="1" ht="33" customHeight="1">
      <c r="A39" s="198">
        <v>28</v>
      </c>
      <c r="B39" s="200" t="s">
        <v>773</v>
      </c>
      <c r="C39" s="233" t="s">
        <v>774</v>
      </c>
      <c r="D39" s="202" t="s">
        <v>64</v>
      </c>
      <c r="E39" s="203">
        <v>3</v>
      </c>
      <c r="F39" s="204"/>
      <c r="G39" s="205"/>
      <c r="H39" s="205"/>
      <c r="I39" s="205"/>
      <c r="J39" s="205"/>
      <c r="K39" s="205"/>
      <c r="L39" s="205"/>
      <c r="M39" s="205"/>
      <c r="N39" s="205"/>
      <c r="O39" s="205"/>
      <c r="P39" s="205"/>
    </row>
    <row r="40" spans="1:16" s="207" customFormat="1" ht="33" customHeight="1">
      <c r="A40" s="198">
        <v>29</v>
      </c>
      <c r="B40" s="200"/>
      <c r="C40" s="281" t="s">
        <v>719</v>
      </c>
      <c r="D40" s="202"/>
      <c r="E40" s="203"/>
      <c r="F40" s="204"/>
      <c r="G40" s="205"/>
      <c r="H40" s="205"/>
      <c r="I40" s="205"/>
      <c r="J40" s="205"/>
      <c r="K40" s="205"/>
      <c r="L40" s="205"/>
      <c r="M40" s="205"/>
      <c r="N40" s="205"/>
      <c r="O40" s="205"/>
      <c r="P40" s="205"/>
    </row>
    <row r="41" spans="1:16" s="207" customFormat="1" ht="50.25" customHeight="1">
      <c r="A41" s="198">
        <v>30</v>
      </c>
      <c r="B41" s="200" t="s">
        <v>775</v>
      </c>
      <c r="C41" s="233" t="s">
        <v>776</v>
      </c>
      <c r="D41" s="202" t="s">
        <v>680</v>
      </c>
      <c r="E41" s="203">
        <v>1</v>
      </c>
      <c r="F41" s="204"/>
      <c r="G41" s="205"/>
      <c r="H41" s="205"/>
      <c r="I41" s="205"/>
      <c r="J41" s="205"/>
      <c r="K41" s="205"/>
      <c r="L41" s="205"/>
      <c r="M41" s="205"/>
      <c r="N41" s="205"/>
      <c r="O41" s="205"/>
      <c r="P41" s="205"/>
    </row>
    <row r="42" spans="1:16" s="207" customFormat="1" ht="50.25" customHeight="1">
      <c r="A42" s="198">
        <v>31</v>
      </c>
      <c r="B42" s="200" t="s">
        <v>777</v>
      </c>
      <c r="C42" s="233" t="s">
        <v>778</v>
      </c>
      <c r="D42" s="202" t="s">
        <v>680</v>
      </c>
      <c r="E42" s="203">
        <v>1</v>
      </c>
      <c r="F42" s="204"/>
      <c r="G42" s="205"/>
      <c r="H42" s="205"/>
      <c r="I42" s="205"/>
      <c r="J42" s="205"/>
      <c r="K42" s="205"/>
      <c r="L42" s="205"/>
      <c r="M42" s="205"/>
      <c r="N42" s="205"/>
      <c r="O42" s="205"/>
      <c r="P42" s="205"/>
    </row>
    <row r="43" spans="1:17" s="207" customFormat="1" ht="30" customHeight="1">
      <c r="A43" s="209"/>
      <c r="B43" s="209"/>
      <c r="C43" s="28" t="s">
        <v>7</v>
      </c>
      <c r="D43" s="28"/>
      <c r="E43" s="28"/>
      <c r="F43" s="28"/>
      <c r="G43" s="28"/>
      <c r="H43" s="28"/>
      <c r="I43" s="28"/>
      <c r="J43" s="28"/>
      <c r="K43" s="28"/>
      <c r="L43" s="29"/>
      <c r="M43" s="29"/>
      <c r="N43" s="29"/>
      <c r="O43" s="29"/>
      <c r="P43" s="29"/>
      <c r="Q43" s="210"/>
    </row>
    <row r="44" spans="1:16" s="207" customFormat="1" ht="30" customHeight="1">
      <c r="A44" s="211"/>
      <c r="B44" s="211"/>
      <c r="C44" s="418" t="s">
        <v>849</v>
      </c>
      <c r="D44" s="418"/>
      <c r="E44" s="418"/>
      <c r="F44" s="418"/>
      <c r="G44" s="418"/>
      <c r="H44" s="418"/>
      <c r="I44" s="418"/>
      <c r="J44" s="418"/>
      <c r="K44" s="418"/>
      <c r="L44" s="30"/>
      <c r="M44" s="30"/>
      <c r="N44" s="30"/>
      <c r="O44" s="30"/>
      <c r="P44" s="31"/>
    </row>
    <row r="45" spans="1:17" s="207" customFormat="1" ht="30" customHeight="1">
      <c r="A45" s="211"/>
      <c r="B45" s="211"/>
      <c r="C45" s="433" t="s">
        <v>71</v>
      </c>
      <c r="D45" s="433"/>
      <c r="E45" s="433"/>
      <c r="F45" s="433"/>
      <c r="G45" s="433"/>
      <c r="H45" s="433"/>
      <c r="I45" s="433"/>
      <c r="J45" s="433"/>
      <c r="K45" s="433"/>
      <c r="L45" s="30"/>
      <c r="M45" s="30"/>
      <c r="N45" s="30"/>
      <c r="O45" s="30"/>
      <c r="P45" s="31"/>
      <c r="Q45" s="212"/>
    </row>
    <row r="46" spans="1:16" ht="12.75">
      <c r="A46" s="213"/>
      <c r="B46" s="214"/>
      <c r="C46" s="213"/>
      <c r="D46" s="215"/>
      <c r="E46" s="216"/>
      <c r="F46" s="216"/>
      <c r="G46" s="216"/>
      <c r="H46" s="187"/>
      <c r="I46" s="187"/>
      <c r="J46" s="216"/>
      <c r="K46" s="216"/>
      <c r="L46" s="216"/>
      <c r="M46" s="216"/>
      <c r="N46" s="216"/>
      <c r="O46" s="216"/>
      <c r="P46" s="216"/>
    </row>
    <row r="47" spans="1:16" ht="12.75">
      <c r="A47" s="213"/>
      <c r="B47" s="214"/>
      <c r="C47" s="213"/>
      <c r="D47" s="215"/>
      <c r="E47" s="216"/>
      <c r="F47" s="216"/>
      <c r="G47" s="216"/>
      <c r="H47" s="187"/>
      <c r="I47" s="187"/>
      <c r="J47" s="216"/>
      <c r="K47" s="216"/>
      <c r="L47" s="216"/>
      <c r="M47" s="216"/>
      <c r="N47" s="216"/>
      <c r="O47" s="216"/>
      <c r="P47" s="216"/>
    </row>
    <row r="48" spans="1:16" ht="12.75">
      <c r="A48" s="213"/>
      <c r="B48" s="214"/>
      <c r="C48" s="213"/>
      <c r="D48" s="215"/>
      <c r="E48" s="216"/>
      <c r="F48" s="216"/>
      <c r="G48" s="216"/>
      <c r="H48" s="187"/>
      <c r="I48" s="187"/>
      <c r="J48" s="216"/>
      <c r="K48" s="216"/>
      <c r="L48" s="216"/>
      <c r="M48" s="216"/>
      <c r="N48" s="216"/>
      <c r="O48" s="216"/>
      <c r="P48" s="216"/>
    </row>
    <row r="49" spans="1:16" s="207" customFormat="1" ht="15">
      <c r="A49" s="432" t="s">
        <v>9</v>
      </c>
      <c r="B49" s="432"/>
      <c r="C49" s="218"/>
      <c r="E49" s="219">
        <f>'1-1 (1)'!E21</f>
        <v>0</v>
      </c>
      <c r="F49" s="220"/>
      <c r="G49" s="220"/>
      <c r="H49" s="221"/>
      <c r="I49" s="434" t="s">
        <v>72</v>
      </c>
      <c r="J49" s="434"/>
      <c r="K49" s="220"/>
      <c r="L49" s="220"/>
      <c r="M49" s="220"/>
      <c r="N49" s="219">
        <f>'1-1 (1)'!N21</f>
        <v>0</v>
      </c>
      <c r="O49" s="220"/>
      <c r="P49" s="220"/>
    </row>
    <row r="50" spans="1:16" s="207" customFormat="1" ht="15">
      <c r="A50" s="217"/>
      <c r="B50" s="217"/>
      <c r="C50" s="435" t="s">
        <v>10</v>
      </c>
      <c r="D50" s="435"/>
      <c r="E50" s="435"/>
      <c r="F50" s="435"/>
      <c r="G50" s="435"/>
      <c r="I50" s="190"/>
      <c r="J50" s="190"/>
      <c r="K50" s="436" t="s">
        <v>10</v>
      </c>
      <c r="L50" s="436"/>
      <c r="M50" s="436"/>
      <c r="N50" s="436"/>
      <c r="O50" s="436"/>
      <c r="P50" s="436"/>
    </row>
    <row r="51" spans="1:16" s="207" customFormat="1" ht="15">
      <c r="A51" s="217"/>
      <c r="B51" s="217"/>
      <c r="C51" s="217"/>
      <c r="D51" s="222"/>
      <c r="E51" s="223"/>
      <c r="F51" s="223"/>
      <c r="G51" s="223"/>
      <c r="J51" s="223"/>
      <c r="K51" s="223"/>
      <c r="L51" s="223"/>
      <c r="M51" s="223"/>
      <c r="N51" s="223"/>
      <c r="O51" s="223"/>
      <c r="P51" s="223"/>
    </row>
    <row r="52" spans="1:16" s="207" customFormat="1" ht="15.75">
      <c r="A52" s="87"/>
      <c r="B52" s="217"/>
      <c r="C52" s="87"/>
      <c r="D52" s="224"/>
      <c r="E52" s="223"/>
      <c r="F52" s="223"/>
      <c r="G52" s="223"/>
      <c r="I52" s="432" t="s">
        <v>11</v>
      </c>
      <c r="J52" s="432"/>
      <c r="K52" s="218">
        <f>'1-1 (1)'!K24</f>
        <v>0</v>
      </c>
      <c r="L52" s="223"/>
      <c r="M52" s="223"/>
      <c r="N52" s="223"/>
      <c r="O52" s="223"/>
      <c r="P52" s="223"/>
    </row>
    <row r="53" spans="1:16" ht="12.75">
      <c r="A53" s="213"/>
      <c r="B53" s="214"/>
      <c r="C53" s="213"/>
      <c r="D53" s="215"/>
      <c r="E53" s="216"/>
      <c r="F53" s="216"/>
      <c r="G53" s="216"/>
      <c r="H53" s="187"/>
      <c r="I53" s="187"/>
      <c r="J53" s="216"/>
      <c r="K53" s="216"/>
      <c r="L53" s="216"/>
      <c r="M53" s="216"/>
      <c r="N53" s="216"/>
      <c r="O53" s="216"/>
      <c r="P53" s="216"/>
    </row>
    <row r="54" spans="1:16" ht="12.75">
      <c r="A54" s="213"/>
      <c r="B54" s="214"/>
      <c r="C54" s="213"/>
      <c r="D54" s="215"/>
      <c r="E54" s="216"/>
      <c r="F54" s="216"/>
      <c r="G54" s="216"/>
      <c r="H54" s="187"/>
      <c r="I54" s="187"/>
      <c r="J54" s="216"/>
      <c r="K54" s="216"/>
      <c r="L54" s="216"/>
      <c r="M54" s="216"/>
      <c r="N54" s="216"/>
      <c r="O54" s="216"/>
      <c r="P54" s="216"/>
    </row>
    <row r="55" spans="1:16" ht="12.75">
      <c r="A55" s="213"/>
      <c r="B55" s="214"/>
      <c r="C55" s="213"/>
      <c r="D55" s="215"/>
      <c r="E55" s="216"/>
      <c r="F55" s="216"/>
      <c r="G55" s="216"/>
      <c r="H55" s="187"/>
      <c r="I55" s="187"/>
      <c r="J55" s="216"/>
      <c r="K55" s="216"/>
      <c r="L55" s="216"/>
      <c r="M55" s="216"/>
      <c r="N55" s="216"/>
      <c r="O55" s="216"/>
      <c r="P55" s="216"/>
    </row>
    <row r="56" spans="1:16" ht="21.75" customHeight="1">
      <c r="A56" s="213"/>
      <c r="B56" s="214"/>
      <c r="C56" s="213"/>
      <c r="D56" s="215"/>
      <c r="E56" s="216"/>
      <c r="F56" s="216"/>
      <c r="G56" s="216"/>
      <c r="H56" s="187"/>
      <c r="I56" s="187"/>
      <c r="J56" s="216"/>
      <c r="K56" s="216"/>
      <c r="L56" s="216"/>
      <c r="M56" s="216"/>
      <c r="N56" s="216"/>
      <c r="O56" s="216"/>
      <c r="P56" s="216"/>
    </row>
    <row r="57" spans="1:16" ht="12.75">
      <c r="A57" s="366"/>
      <c r="B57" s="367"/>
      <c r="C57" s="368"/>
      <c r="D57" s="368"/>
      <c r="E57" s="366"/>
      <c r="F57" s="366"/>
      <c r="G57" s="216"/>
      <c r="H57" s="187"/>
      <c r="I57" s="187"/>
      <c r="J57" s="216"/>
      <c r="K57" s="216"/>
      <c r="L57" s="216"/>
      <c r="M57" s="216"/>
      <c r="N57" s="216"/>
      <c r="O57" s="216"/>
      <c r="P57" s="216"/>
    </row>
    <row r="58" spans="1:16" ht="12.75">
      <c r="A58" s="366"/>
      <c r="B58" s="366"/>
      <c r="C58" s="368"/>
      <c r="D58" s="368"/>
      <c r="E58" s="366"/>
      <c r="F58" s="366"/>
      <c r="G58" s="216"/>
      <c r="H58" s="187"/>
      <c r="I58" s="187"/>
      <c r="J58" s="216"/>
      <c r="K58" s="216"/>
      <c r="L58" s="216"/>
      <c r="M58" s="216"/>
      <c r="N58" s="216"/>
      <c r="O58" s="216"/>
      <c r="P58" s="216"/>
    </row>
    <row r="59" spans="1:16" ht="15">
      <c r="A59" s="369"/>
      <c r="B59" s="369"/>
      <c r="C59" s="370"/>
      <c r="D59" s="371"/>
      <c r="E59" s="372"/>
      <c r="F59" s="373"/>
      <c r="G59" s="288"/>
      <c r="H59" s="288"/>
      <c r="I59" s="288"/>
      <c r="J59" s="288"/>
      <c r="K59" s="288"/>
      <c r="L59" s="288"/>
      <c r="M59" s="288"/>
      <c r="N59" s="288"/>
      <c r="O59" s="288"/>
      <c r="P59" s="288"/>
    </row>
    <row r="60" spans="1:16" ht="15">
      <c r="A60" s="369"/>
      <c r="B60" s="369"/>
      <c r="C60" s="374"/>
      <c r="D60" s="371"/>
      <c r="E60" s="372"/>
      <c r="F60" s="373"/>
      <c r="G60" s="288"/>
      <c r="H60" s="288"/>
      <c r="I60" s="288"/>
      <c r="J60" s="288"/>
      <c r="K60" s="288"/>
      <c r="L60" s="288"/>
      <c r="M60" s="288"/>
      <c r="N60" s="288"/>
      <c r="O60" s="288"/>
      <c r="P60" s="288"/>
    </row>
    <row r="61" spans="1:16" ht="12.75">
      <c r="A61" s="366"/>
      <c r="B61" s="366"/>
      <c r="C61" s="368"/>
      <c r="D61" s="368"/>
      <c r="E61" s="366"/>
      <c r="F61" s="366"/>
      <c r="G61" s="216"/>
      <c r="H61" s="187"/>
      <c r="I61" s="187"/>
      <c r="J61" s="216"/>
      <c r="K61" s="216"/>
      <c r="L61" s="216"/>
      <c r="M61" s="216"/>
      <c r="N61" s="216"/>
      <c r="O61" s="216"/>
      <c r="P61" s="216"/>
    </row>
    <row r="62" spans="1:16" ht="12.75">
      <c r="A62" s="366"/>
      <c r="B62" s="366"/>
      <c r="C62" s="368"/>
      <c r="D62" s="368"/>
      <c r="E62" s="366"/>
      <c r="F62" s="366"/>
      <c r="G62" s="216"/>
      <c r="H62" s="187"/>
      <c r="I62" s="187"/>
      <c r="J62" s="216"/>
      <c r="K62" s="216"/>
      <c r="L62" s="216"/>
      <c r="M62" s="216"/>
      <c r="N62" s="216"/>
      <c r="O62" s="216"/>
      <c r="P62" s="216"/>
    </row>
    <row r="63" spans="1:16" ht="12.75">
      <c r="A63" s="366"/>
      <c r="B63" s="366"/>
      <c r="C63" s="368"/>
      <c r="D63" s="368"/>
      <c r="E63" s="366"/>
      <c r="F63" s="366"/>
      <c r="G63" s="216"/>
      <c r="H63" s="187"/>
      <c r="I63" s="187"/>
      <c r="J63" s="216"/>
      <c r="K63" s="216"/>
      <c r="L63" s="216"/>
      <c r="M63" s="216"/>
      <c r="N63" s="216"/>
      <c r="O63" s="216"/>
      <c r="P63" s="216"/>
    </row>
    <row r="64" spans="1:16" ht="12.75">
      <c r="A64" s="366"/>
      <c r="B64" s="366"/>
      <c r="C64" s="368"/>
      <c r="D64" s="368"/>
      <c r="E64" s="366"/>
      <c r="F64" s="366"/>
      <c r="G64" s="216"/>
      <c r="H64" s="187"/>
      <c r="I64" s="187"/>
      <c r="J64" s="216"/>
      <c r="K64" s="216"/>
      <c r="L64" s="216"/>
      <c r="M64" s="216"/>
      <c r="N64" s="216"/>
      <c r="O64" s="216"/>
      <c r="P64" s="216"/>
    </row>
    <row r="65" spans="1:16" ht="12.75">
      <c r="A65" s="366"/>
      <c r="B65" s="366"/>
      <c r="C65" s="368"/>
      <c r="D65" s="368"/>
      <c r="E65" s="366"/>
      <c r="F65" s="366"/>
      <c r="G65" s="216"/>
      <c r="H65" s="187"/>
      <c r="I65" s="187"/>
      <c r="J65" s="216"/>
      <c r="K65" s="216"/>
      <c r="L65" s="216"/>
      <c r="M65" s="216"/>
      <c r="N65" s="216"/>
      <c r="O65" s="216"/>
      <c r="P65" s="216"/>
    </row>
    <row r="66" spans="1:16" ht="12.75">
      <c r="A66" s="366"/>
      <c r="B66" s="366"/>
      <c r="C66" s="368"/>
      <c r="D66" s="368"/>
      <c r="E66" s="366"/>
      <c r="F66" s="366"/>
      <c r="G66" s="216"/>
      <c r="H66" s="187"/>
      <c r="I66" s="187"/>
      <c r="J66" s="216"/>
      <c r="K66" s="216"/>
      <c r="L66" s="216"/>
      <c r="M66" s="216"/>
      <c r="N66" s="216"/>
      <c r="O66" s="216"/>
      <c r="P66" s="216"/>
    </row>
    <row r="67" spans="1:16" ht="12.75">
      <c r="A67" s="366"/>
      <c r="B67" s="366"/>
      <c r="C67" s="368"/>
      <c r="D67" s="368"/>
      <c r="E67" s="366"/>
      <c r="F67" s="366"/>
      <c r="G67" s="216"/>
      <c r="H67" s="187"/>
      <c r="I67" s="187"/>
      <c r="J67" s="216"/>
      <c r="K67" s="216"/>
      <c r="L67" s="216"/>
      <c r="M67" s="216"/>
      <c r="N67" s="216"/>
      <c r="O67" s="216"/>
      <c r="P67" s="216"/>
    </row>
    <row r="68" spans="1:16" ht="12.75">
      <c r="A68" s="366"/>
      <c r="B68" s="366"/>
      <c r="C68" s="368"/>
      <c r="D68" s="368"/>
      <c r="E68" s="366"/>
      <c r="F68" s="366"/>
      <c r="G68" s="216"/>
      <c r="H68" s="187"/>
      <c r="I68" s="187"/>
      <c r="J68" s="216"/>
      <c r="K68" s="216"/>
      <c r="L68" s="216"/>
      <c r="M68" s="216"/>
      <c r="N68" s="216"/>
      <c r="O68" s="216"/>
      <c r="P68" s="216"/>
    </row>
    <row r="69" spans="1:16" ht="12.75">
      <c r="A69" s="366"/>
      <c r="B69" s="366"/>
      <c r="C69" s="368"/>
      <c r="D69" s="368"/>
      <c r="E69" s="366"/>
      <c r="F69" s="366"/>
      <c r="G69" s="216"/>
      <c r="H69" s="187"/>
      <c r="I69" s="187"/>
      <c r="J69" s="216"/>
      <c r="K69" s="216"/>
      <c r="L69" s="216"/>
      <c r="M69" s="216"/>
      <c r="N69" s="216"/>
      <c r="O69" s="216"/>
      <c r="P69" s="216"/>
    </row>
    <row r="70" spans="1:16" ht="12.75">
      <c r="A70" s="366"/>
      <c r="B70" s="366"/>
      <c r="C70" s="368"/>
      <c r="D70" s="368"/>
      <c r="E70" s="366"/>
      <c r="F70" s="366"/>
      <c r="G70" s="216"/>
      <c r="H70" s="187"/>
      <c r="I70" s="187"/>
      <c r="J70" s="216"/>
      <c r="K70" s="216"/>
      <c r="L70" s="216"/>
      <c r="M70" s="216"/>
      <c r="N70" s="216"/>
      <c r="O70" s="216"/>
      <c r="P70" s="216"/>
    </row>
    <row r="71" spans="1:16" ht="12.75">
      <c r="A71" s="366"/>
      <c r="B71" s="366"/>
      <c r="C71" s="368"/>
      <c r="D71" s="368"/>
      <c r="E71" s="366"/>
      <c r="F71" s="366"/>
      <c r="G71" s="216"/>
      <c r="H71" s="187"/>
      <c r="I71" s="187"/>
      <c r="J71" s="216"/>
      <c r="K71" s="216"/>
      <c r="L71" s="216"/>
      <c r="M71" s="216"/>
      <c r="N71" s="216"/>
      <c r="O71" s="216"/>
      <c r="P71" s="216"/>
    </row>
    <row r="72" spans="1:16" ht="12.75">
      <c r="A72" s="366"/>
      <c r="B72" s="366"/>
      <c r="C72" s="368"/>
      <c r="D72" s="368"/>
      <c r="E72" s="366"/>
      <c r="F72" s="366"/>
      <c r="G72" s="216"/>
      <c r="H72" s="187"/>
      <c r="I72" s="187"/>
      <c r="J72" s="216"/>
      <c r="K72" s="216"/>
      <c r="L72" s="216"/>
      <c r="M72" s="216"/>
      <c r="N72" s="216"/>
      <c r="O72" s="216"/>
      <c r="P72" s="216"/>
    </row>
    <row r="73" spans="1:16" ht="12.75">
      <c r="A73" s="366"/>
      <c r="B73" s="366"/>
      <c r="C73" s="368"/>
      <c r="D73" s="368"/>
      <c r="E73" s="366"/>
      <c r="F73" s="216"/>
      <c r="G73" s="216"/>
      <c r="H73" s="187"/>
      <c r="I73" s="187"/>
      <c r="J73" s="216"/>
      <c r="K73" s="216"/>
      <c r="L73" s="216"/>
      <c r="M73" s="216"/>
      <c r="N73" s="216"/>
      <c r="O73" s="216"/>
      <c r="P73" s="216"/>
    </row>
    <row r="74" spans="1:16" ht="12.75">
      <c r="A74" s="366"/>
      <c r="B74" s="366"/>
      <c r="C74" s="368"/>
      <c r="D74" s="368"/>
      <c r="E74" s="366"/>
      <c r="F74" s="216"/>
      <c r="G74" s="216"/>
      <c r="H74" s="187"/>
      <c r="I74" s="187"/>
      <c r="J74" s="216"/>
      <c r="K74" s="216"/>
      <c r="L74" s="216"/>
      <c r="M74" s="216"/>
      <c r="N74" s="216"/>
      <c r="O74" s="216"/>
      <c r="P74" s="216"/>
    </row>
    <row r="75" spans="1:16" ht="12.75">
      <c r="A75" s="366"/>
      <c r="B75" s="366"/>
      <c r="C75" s="368"/>
      <c r="D75" s="368"/>
      <c r="E75" s="366"/>
      <c r="F75" s="216"/>
      <c r="G75" s="216"/>
      <c r="H75" s="187"/>
      <c r="I75" s="187"/>
      <c r="J75" s="216"/>
      <c r="K75" s="216"/>
      <c r="L75" s="216"/>
      <c r="M75" s="216"/>
      <c r="N75" s="216"/>
      <c r="O75" s="216"/>
      <c r="P75" s="216"/>
    </row>
    <row r="76" spans="1:16" ht="12.75">
      <c r="A76" s="366"/>
      <c r="B76" s="366"/>
      <c r="C76" s="368"/>
      <c r="D76" s="368"/>
      <c r="E76" s="366"/>
      <c r="F76" s="216"/>
      <c r="G76" s="216"/>
      <c r="H76" s="187"/>
      <c r="I76" s="187"/>
      <c r="J76" s="216"/>
      <c r="K76" s="216"/>
      <c r="L76" s="216"/>
      <c r="M76" s="216"/>
      <c r="N76" s="216"/>
      <c r="O76" s="216"/>
      <c r="P76" s="216"/>
    </row>
    <row r="77" spans="1:16" ht="12.75">
      <c r="A77" s="366"/>
      <c r="B77" s="366"/>
      <c r="C77" s="368"/>
      <c r="D77" s="368"/>
      <c r="E77" s="366"/>
      <c r="F77" s="216"/>
      <c r="G77" s="216"/>
      <c r="H77" s="187"/>
      <c r="I77" s="187"/>
      <c r="J77" s="216"/>
      <c r="K77" s="216"/>
      <c r="L77" s="216"/>
      <c r="M77" s="216"/>
      <c r="N77" s="216"/>
      <c r="O77" s="216"/>
      <c r="P77" s="216"/>
    </row>
    <row r="78" spans="1:16" ht="12.75">
      <c r="A78" s="366"/>
      <c r="B78" s="366"/>
      <c r="C78" s="368"/>
      <c r="D78" s="368"/>
      <c r="E78" s="366"/>
      <c r="F78" s="216"/>
      <c r="G78" s="216"/>
      <c r="H78" s="187"/>
      <c r="I78" s="187"/>
      <c r="J78" s="216"/>
      <c r="K78" s="216"/>
      <c r="L78" s="216"/>
      <c r="M78" s="216"/>
      <c r="N78" s="216"/>
      <c r="O78" s="216"/>
      <c r="P78" s="216"/>
    </row>
    <row r="79" spans="1:16" ht="12.75">
      <c r="A79" s="366"/>
      <c r="B79" s="366"/>
      <c r="C79" s="368"/>
      <c r="D79" s="368"/>
      <c r="E79" s="366"/>
      <c r="F79" s="216"/>
      <c r="G79" s="216"/>
      <c r="H79" s="187"/>
      <c r="I79" s="187"/>
      <c r="J79" s="216"/>
      <c r="K79" s="216"/>
      <c r="L79" s="216"/>
      <c r="M79" s="216"/>
      <c r="N79" s="216"/>
      <c r="O79" s="216"/>
      <c r="P79" s="216"/>
    </row>
    <row r="80" spans="1:16" ht="12.75">
      <c r="A80" s="366"/>
      <c r="B80" s="366"/>
      <c r="C80" s="368"/>
      <c r="D80" s="368"/>
      <c r="E80" s="366"/>
      <c r="F80" s="216"/>
      <c r="G80" s="216"/>
      <c r="H80" s="187"/>
      <c r="I80" s="187"/>
      <c r="J80" s="216"/>
      <c r="K80" s="216"/>
      <c r="L80" s="216"/>
      <c r="M80" s="216"/>
      <c r="N80" s="216"/>
      <c r="O80" s="216"/>
      <c r="P80" s="216"/>
    </row>
    <row r="81" spans="1:16" ht="12.75">
      <c r="A81" s="366"/>
      <c r="B81" s="366"/>
      <c r="C81" s="368"/>
      <c r="D81" s="368"/>
      <c r="E81" s="366"/>
      <c r="F81" s="216"/>
      <c r="G81" s="216"/>
      <c r="H81" s="187"/>
      <c r="I81" s="187"/>
      <c r="J81" s="216"/>
      <c r="K81" s="216"/>
      <c r="L81" s="216"/>
      <c r="M81" s="216"/>
      <c r="N81" s="216"/>
      <c r="O81" s="216"/>
      <c r="P81" s="216"/>
    </row>
    <row r="82" spans="1:16" ht="12.75">
      <c r="A82" s="366"/>
      <c r="B82" s="366"/>
      <c r="C82" s="368"/>
      <c r="D82" s="368"/>
      <c r="E82" s="366"/>
      <c r="F82" s="216"/>
      <c r="G82" s="216"/>
      <c r="H82" s="187"/>
      <c r="I82" s="187"/>
      <c r="J82" s="216"/>
      <c r="K82" s="216"/>
      <c r="L82" s="216"/>
      <c r="M82" s="216"/>
      <c r="N82" s="216"/>
      <c r="O82" s="216"/>
      <c r="P82" s="216"/>
    </row>
    <row r="83" spans="1:16" ht="12.75">
      <c r="A83" s="366"/>
      <c r="B83" s="366"/>
      <c r="C83" s="368"/>
      <c r="D83" s="368"/>
      <c r="E83" s="366"/>
      <c r="F83" s="216"/>
      <c r="G83" s="216"/>
      <c r="H83" s="187"/>
      <c r="I83" s="187"/>
      <c r="J83" s="216"/>
      <c r="K83" s="216"/>
      <c r="L83" s="216"/>
      <c r="M83" s="216"/>
      <c r="N83" s="216"/>
      <c r="O83" s="216"/>
      <c r="P83" s="216"/>
    </row>
    <row r="84" spans="1:16" ht="12.75">
      <c r="A84" s="366"/>
      <c r="B84" s="366"/>
      <c r="C84" s="368"/>
      <c r="D84" s="368"/>
      <c r="E84" s="366"/>
      <c r="F84" s="216"/>
      <c r="G84" s="216"/>
      <c r="H84" s="187"/>
      <c r="I84" s="187"/>
      <c r="J84" s="216"/>
      <c r="K84" s="216"/>
      <c r="L84" s="216"/>
      <c r="M84" s="216"/>
      <c r="N84" s="216"/>
      <c r="O84" s="216"/>
      <c r="P84" s="216"/>
    </row>
    <row r="85" spans="1:16" ht="12.75">
      <c r="A85" s="366"/>
      <c r="B85" s="366"/>
      <c r="C85" s="368"/>
      <c r="D85" s="368"/>
      <c r="E85" s="366"/>
      <c r="F85" s="216"/>
      <c r="G85" s="216"/>
      <c r="H85" s="187"/>
      <c r="I85" s="187"/>
      <c r="J85" s="216"/>
      <c r="K85" s="216"/>
      <c r="L85" s="216"/>
      <c r="M85" s="216"/>
      <c r="N85" s="216"/>
      <c r="O85" s="216"/>
      <c r="P85" s="216"/>
    </row>
    <row r="86" spans="1:16" ht="12.75">
      <c r="A86" s="366"/>
      <c r="B86" s="366"/>
      <c r="C86" s="368"/>
      <c r="D86" s="368"/>
      <c r="E86" s="366"/>
      <c r="F86" s="216"/>
      <c r="G86" s="216"/>
      <c r="H86" s="187"/>
      <c r="I86" s="187"/>
      <c r="J86" s="216"/>
      <c r="K86" s="216"/>
      <c r="L86" s="216"/>
      <c r="M86" s="216"/>
      <c r="N86" s="216"/>
      <c r="O86" s="216"/>
      <c r="P86" s="216"/>
    </row>
    <row r="87" spans="1:16" ht="12.75">
      <c r="A87" s="366"/>
      <c r="B87" s="366"/>
      <c r="C87" s="368"/>
      <c r="D87" s="368"/>
      <c r="E87" s="366"/>
      <c r="F87" s="216"/>
      <c r="G87" s="216"/>
      <c r="H87" s="187"/>
      <c r="I87" s="187"/>
      <c r="J87" s="216"/>
      <c r="K87" s="216"/>
      <c r="L87" s="216"/>
      <c r="M87" s="216"/>
      <c r="N87" s="216"/>
      <c r="O87" s="216"/>
      <c r="P87" s="216"/>
    </row>
    <row r="88" spans="1:16" ht="12.75">
      <c r="A88" s="366"/>
      <c r="B88" s="366"/>
      <c r="C88" s="368"/>
      <c r="D88" s="368"/>
      <c r="E88" s="366"/>
      <c r="F88" s="216"/>
      <c r="G88" s="216"/>
      <c r="H88" s="187"/>
      <c r="I88" s="187"/>
      <c r="J88" s="216"/>
      <c r="K88" s="216"/>
      <c r="L88" s="216"/>
      <c r="M88" s="216"/>
      <c r="N88" s="216"/>
      <c r="O88" s="216"/>
      <c r="P88" s="216"/>
    </row>
    <row r="89" spans="1:16" ht="12.75">
      <c r="A89" s="366"/>
      <c r="B89" s="366"/>
      <c r="C89" s="368"/>
      <c r="D89" s="368"/>
      <c r="E89" s="366"/>
      <c r="F89" s="216"/>
      <c r="G89" s="216"/>
      <c r="H89" s="187"/>
      <c r="I89" s="187"/>
      <c r="J89" s="216"/>
      <c r="K89" s="216"/>
      <c r="L89" s="216"/>
      <c r="M89" s="216"/>
      <c r="N89" s="216"/>
      <c r="O89" s="216"/>
      <c r="P89" s="216"/>
    </row>
    <row r="90" spans="1:16" ht="12.75">
      <c r="A90" s="366"/>
      <c r="B90" s="366"/>
      <c r="C90" s="368"/>
      <c r="D90" s="368"/>
      <c r="E90" s="366"/>
      <c r="F90" s="216"/>
      <c r="G90" s="216"/>
      <c r="H90" s="187"/>
      <c r="I90" s="187"/>
      <c r="J90" s="216"/>
      <c r="K90" s="216"/>
      <c r="L90" s="216"/>
      <c r="M90" s="216"/>
      <c r="N90" s="216"/>
      <c r="O90" s="216"/>
      <c r="P90" s="216"/>
    </row>
    <row r="91" spans="1:16" ht="12.75">
      <c r="A91" s="213"/>
      <c r="B91" s="214"/>
      <c r="C91" s="213"/>
      <c r="D91" s="215"/>
      <c r="E91" s="216"/>
      <c r="F91" s="216"/>
      <c r="G91" s="216"/>
      <c r="H91" s="187"/>
      <c r="I91" s="187"/>
      <c r="J91" s="216"/>
      <c r="K91" s="216"/>
      <c r="L91" s="216"/>
      <c r="M91" s="216"/>
      <c r="N91" s="216"/>
      <c r="O91" s="216"/>
      <c r="P91" s="216"/>
    </row>
    <row r="92" spans="1:16" ht="12.75">
      <c r="A92" s="213"/>
      <c r="B92" s="214"/>
      <c r="C92" s="213"/>
      <c r="D92" s="215"/>
      <c r="E92" s="216"/>
      <c r="F92" s="216"/>
      <c r="G92" s="216"/>
      <c r="H92" s="187"/>
      <c r="I92" s="187"/>
      <c r="J92" s="216"/>
      <c r="K92" s="216"/>
      <c r="L92" s="216"/>
      <c r="M92" s="216"/>
      <c r="N92" s="216"/>
      <c r="O92" s="216"/>
      <c r="P92" s="216"/>
    </row>
    <row r="93" spans="1:16" ht="12.75">
      <c r="A93" s="213"/>
      <c r="B93" s="214"/>
      <c r="C93" s="213"/>
      <c r="D93" s="215"/>
      <c r="E93" s="216"/>
      <c r="F93" s="216"/>
      <c r="G93" s="216"/>
      <c r="H93" s="187"/>
      <c r="I93" s="187"/>
      <c r="J93" s="216"/>
      <c r="K93" s="216"/>
      <c r="L93" s="216"/>
      <c r="M93" s="216"/>
      <c r="N93" s="216"/>
      <c r="O93" s="216"/>
      <c r="P93" s="216"/>
    </row>
    <row r="94" spans="1:16" ht="12.75">
      <c r="A94" s="213"/>
      <c r="B94" s="214"/>
      <c r="C94" s="213"/>
      <c r="D94" s="215"/>
      <c r="E94" s="216"/>
      <c r="F94" s="216"/>
      <c r="G94" s="216"/>
      <c r="H94" s="187"/>
      <c r="I94" s="187"/>
      <c r="J94" s="216"/>
      <c r="K94" s="216"/>
      <c r="L94" s="216"/>
      <c r="M94" s="216"/>
      <c r="N94" s="216"/>
      <c r="O94" s="216"/>
      <c r="P94" s="216"/>
    </row>
    <row r="95" spans="1:16" ht="12.75">
      <c r="A95" s="213"/>
      <c r="B95" s="214"/>
      <c r="C95" s="213"/>
      <c r="D95" s="215"/>
      <c r="E95" s="216"/>
      <c r="F95" s="216"/>
      <c r="G95" s="216"/>
      <c r="H95" s="187"/>
      <c r="I95" s="187"/>
      <c r="J95" s="216"/>
      <c r="K95" s="216"/>
      <c r="L95" s="216"/>
      <c r="M95" s="216"/>
      <c r="N95" s="216"/>
      <c r="O95" s="216"/>
      <c r="P95" s="216"/>
    </row>
    <row r="96" spans="1:16" ht="12.75">
      <c r="A96" s="213"/>
      <c r="B96" s="214"/>
      <c r="C96" s="213"/>
      <c r="D96" s="215"/>
      <c r="E96" s="216"/>
      <c r="F96" s="216"/>
      <c r="G96" s="216"/>
      <c r="H96" s="187"/>
      <c r="I96" s="187"/>
      <c r="J96" s="216"/>
      <c r="K96" s="216"/>
      <c r="L96" s="216"/>
      <c r="M96" s="216"/>
      <c r="N96" s="216"/>
      <c r="O96" s="216"/>
      <c r="P96" s="216"/>
    </row>
    <row r="97" spans="1:16" ht="12.75">
      <c r="A97" s="213"/>
      <c r="B97" s="214"/>
      <c r="C97" s="213"/>
      <c r="D97" s="215"/>
      <c r="E97" s="216"/>
      <c r="F97" s="216"/>
      <c r="G97" s="216"/>
      <c r="H97" s="187"/>
      <c r="I97" s="187"/>
      <c r="J97" s="216"/>
      <c r="K97" s="216"/>
      <c r="L97" s="216"/>
      <c r="M97" s="216"/>
      <c r="N97" s="216"/>
      <c r="O97" s="216"/>
      <c r="P97" s="216"/>
    </row>
    <row r="98" spans="1:16" ht="12.75">
      <c r="A98" s="213"/>
      <c r="B98" s="214"/>
      <c r="C98" s="213"/>
      <c r="D98" s="215"/>
      <c r="E98" s="216"/>
      <c r="F98" s="216"/>
      <c r="G98" s="216"/>
      <c r="H98" s="187"/>
      <c r="I98" s="187"/>
      <c r="J98" s="216"/>
      <c r="K98" s="216"/>
      <c r="L98" s="216"/>
      <c r="M98" s="216"/>
      <c r="N98" s="216"/>
      <c r="O98" s="216"/>
      <c r="P98" s="216"/>
    </row>
    <row r="99" spans="1:16" ht="12.75">
      <c r="A99" s="213"/>
      <c r="B99" s="214"/>
      <c r="C99" s="213"/>
      <c r="D99" s="215"/>
      <c r="E99" s="216"/>
      <c r="F99" s="216"/>
      <c r="G99" s="216"/>
      <c r="H99" s="187"/>
      <c r="I99" s="187"/>
      <c r="J99" s="216"/>
      <c r="K99" s="216"/>
      <c r="L99" s="216"/>
      <c r="M99" s="216"/>
      <c r="N99" s="216"/>
      <c r="O99" s="216"/>
      <c r="P99" s="216"/>
    </row>
    <row r="100" spans="1:16" ht="12.75">
      <c r="A100" s="213"/>
      <c r="B100" s="214"/>
      <c r="C100" s="213"/>
      <c r="D100" s="215"/>
      <c r="E100" s="216"/>
      <c r="F100" s="216"/>
      <c r="G100" s="216"/>
      <c r="H100" s="187"/>
      <c r="I100" s="187"/>
      <c r="J100" s="216"/>
      <c r="K100" s="216"/>
      <c r="L100" s="216"/>
      <c r="M100" s="216"/>
      <c r="N100" s="216"/>
      <c r="O100" s="216"/>
      <c r="P100" s="216"/>
    </row>
    <row r="101" spans="1:16" ht="12.75">
      <c r="A101" s="213"/>
      <c r="B101" s="214"/>
      <c r="C101" s="213"/>
      <c r="D101" s="215"/>
      <c r="E101" s="216"/>
      <c r="F101" s="216"/>
      <c r="G101" s="216"/>
      <c r="H101" s="187"/>
      <c r="I101" s="187"/>
      <c r="J101" s="216"/>
      <c r="K101" s="216"/>
      <c r="L101" s="216"/>
      <c r="M101" s="216"/>
      <c r="N101" s="216"/>
      <c r="O101" s="216"/>
      <c r="P101" s="216"/>
    </row>
    <row r="102" spans="1:16" ht="12.75">
      <c r="A102" s="213"/>
      <c r="B102" s="214"/>
      <c r="C102" s="213"/>
      <c r="D102" s="215"/>
      <c r="E102" s="216"/>
      <c r="F102" s="216"/>
      <c r="G102" s="216"/>
      <c r="H102" s="187"/>
      <c r="I102" s="187"/>
      <c r="J102" s="216"/>
      <c r="K102" s="216"/>
      <c r="L102" s="216"/>
      <c r="M102" s="216"/>
      <c r="N102" s="216"/>
      <c r="O102" s="216"/>
      <c r="P102" s="216"/>
    </row>
    <row r="103" spans="1:16" ht="12.75">
      <c r="A103" s="213"/>
      <c r="B103" s="214"/>
      <c r="C103" s="213"/>
      <c r="D103" s="215"/>
      <c r="E103" s="216"/>
      <c r="F103" s="216"/>
      <c r="G103" s="216"/>
      <c r="H103" s="187"/>
      <c r="I103" s="187"/>
      <c r="J103" s="216"/>
      <c r="K103" s="216"/>
      <c r="L103" s="216"/>
      <c r="M103" s="216"/>
      <c r="N103" s="216"/>
      <c r="O103" s="216"/>
      <c r="P103" s="216"/>
    </row>
    <row r="104" spans="1:16" ht="12.75">
      <c r="A104" s="213"/>
      <c r="B104" s="214"/>
      <c r="C104" s="213"/>
      <c r="D104" s="215"/>
      <c r="E104" s="216"/>
      <c r="F104" s="216"/>
      <c r="G104" s="216"/>
      <c r="H104" s="187"/>
      <c r="I104" s="187"/>
      <c r="J104" s="216"/>
      <c r="K104" s="216"/>
      <c r="L104" s="216"/>
      <c r="M104" s="216"/>
      <c r="N104" s="216"/>
      <c r="O104" s="216"/>
      <c r="P104" s="216"/>
    </row>
    <row r="105" spans="1:16" ht="12.75">
      <c r="A105" s="213"/>
      <c r="B105" s="214"/>
      <c r="C105" s="213"/>
      <c r="D105" s="215"/>
      <c r="E105" s="216"/>
      <c r="F105" s="216"/>
      <c r="G105" s="216"/>
      <c r="H105" s="187"/>
      <c r="I105" s="187"/>
      <c r="J105" s="216"/>
      <c r="K105" s="216"/>
      <c r="L105" s="216"/>
      <c r="M105" s="216"/>
      <c r="N105" s="216"/>
      <c r="O105" s="216"/>
      <c r="P105" s="216"/>
    </row>
    <row r="106" spans="1:16" ht="12.75">
      <c r="A106" s="213"/>
      <c r="B106" s="214"/>
      <c r="C106" s="213"/>
      <c r="D106" s="215"/>
      <c r="E106" s="216"/>
      <c r="F106" s="216"/>
      <c r="G106" s="216"/>
      <c r="H106" s="187"/>
      <c r="I106" s="187"/>
      <c r="J106" s="216"/>
      <c r="K106" s="216"/>
      <c r="L106" s="216"/>
      <c r="M106" s="216"/>
      <c r="N106" s="216"/>
      <c r="O106" s="216"/>
      <c r="P106" s="216"/>
    </row>
    <row r="107" spans="1:16" ht="12.75">
      <c r="A107" s="213"/>
      <c r="B107" s="214"/>
      <c r="C107" s="213"/>
      <c r="D107" s="215"/>
      <c r="E107" s="216"/>
      <c r="F107" s="216"/>
      <c r="G107" s="216"/>
      <c r="H107" s="187"/>
      <c r="I107" s="187"/>
      <c r="J107" s="216"/>
      <c r="K107" s="216"/>
      <c r="L107" s="216"/>
      <c r="M107" s="216"/>
      <c r="N107" s="216"/>
      <c r="O107" s="216"/>
      <c r="P107" s="216"/>
    </row>
    <row r="108" spans="1:16" ht="12.75">
      <c r="A108" s="213"/>
      <c r="B108" s="214"/>
      <c r="C108" s="213"/>
      <c r="D108" s="215"/>
      <c r="E108" s="216"/>
      <c r="F108" s="216"/>
      <c r="G108" s="216"/>
      <c r="H108" s="187"/>
      <c r="I108" s="187"/>
      <c r="J108" s="216"/>
      <c r="K108" s="216"/>
      <c r="L108" s="216"/>
      <c r="M108" s="216"/>
      <c r="N108" s="216"/>
      <c r="O108" s="216"/>
      <c r="P108" s="216"/>
    </row>
    <row r="109" spans="1:16" ht="12.75">
      <c r="A109" s="213"/>
      <c r="B109" s="214"/>
      <c r="C109" s="213"/>
      <c r="D109" s="215"/>
      <c r="E109" s="216"/>
      <c r="F109" s="216"/>
      <c r="G109" s="216"/>
      <c r="H109" s="187"/>
      <c r="I109" s="187"/>
      <c r="J109" s="216"/>
      <c r="K109" s="216"/>
      <c r="L109" s="216"/>
      <c r="M109" s="216"/>
      <c r="N109" s="216"/>
      <c r="O109" s="216"/>
      <c r="P109" s="216"/>
    </row>
    <row r="110" spans="1:16" ht="12.75">
      <c r="A110" s="213"/>
      <c r="B110" s="214"/>
      <c r="C110" s="213"/>
      <c r="D110" s="215"/>
      <c r="E110" s="216"/>
      <c r="F110" s="216"/>
      <c r="G110" s="216"/>
      <c r="H110" s="187"/>
      <c r="I110" s="187"/>
      <c r="J110" s="216"/>
      <c r="K110" s="216"/>
      <c r="L110" s="216"/>
      <c r="M110" s="216"/>
      <c r="N110" s="216"/>
      <c r="O110" s="216"/>
      <c r="P110" s="216"/>
    </row>
    <row r="111" spans="1:16" ht="12.75">
      <c r="A111" s="213"/>
      <c r="B111" s="214"/>
      <c r="C111" s="213"/>
      <c r="D111" s="215"/>
      <c r="E111" s="216"/>
      <c r="F111" s="216"/>
      <c r="G111" s="216"/>
      <c r="H111" s="187"/>
      <c r="I111" s="187"/>
      <c r="J111" s="216"/>
      <c r="K111" s="216"/>
      <c r="L111" s="216"/>
      <c r="M111" s="216"/>
      <c r="N111" s="216"/>
      <c r="O111" s="216"/>
      <c r="P111" s="216"/>
    </row>
    <row r="112" spans="1:16" ht="12.75">
      <c r="A112" s="213"/>
      <c r="B112" s="214"/>
      <c r="C112" s="213"/>
      <c r="D112" s="215"/>
      <c r="E112" s="216"/>
      <c r="F112" s="216"/>
      <c r="G112" s="216"/>
      <c r="H112" s="187"/>
      <c r="I112" s="187"/>
      <c r="J112" s="216"/>
      <c r="K112" s="216"/>
      <c r="L112" s="216"/>
      <c r="M112" s="216"/>
      <c r="N112" s="216"/>
      <c r="O112" s="216"/>
      <c r="P112" s="216"/>
    </row>
    <row r="113" spans="1:16" ht="12.75">
      <c r="A113" s="213"/>
      <c r="B113" s="214"/>
      <c r="C113" s="213"/>
      <c r="D113" s="215"/>
      <c r="E113" s="216"/>
      <c r="F113" s="216"/>
      <c r="G113" s="216"/>
      <c r="H113" s="187"/>
      <c r="I113" s="187"/>
      <c r="J113" s="216"/>
      <c r="K113" s="216"/>
      <c r="L113" s="216"/>
      <c r="M113" s="216"/>
      <c r="N113" s="216"/>
      <c r="O113" s="216"/>
      <c r="P113" s="216"/>
    </row>
    <row r="114" spans="1:16" ht="12.75">
      <c r="A114" s="213"/>
      <c r="B114" s="214"/>
      <c r="C114" s="213"/>
      <c r="D114" s="215"/>
      <c r="E114" s="216"/>
      <c r="F114" s="216"/>
      <c r="G114" s="216"/>
      <c r="H114" s="187"/>
      <c r="I114" s="187"/>
      <c r="J114" s="216"/>
      <c r="K114" s="216"/>
      <c r="L114" s="216"/>
      <c r="M114" s="216"/>
      <c r="N114" s="216"/>
      <c r="O114" s="216"/>
      <c r="P114" s="216"/>
    </row>
    <row r="115" spans="1:16" ht="12.75">
      <c r="A115" s="213"/>
      <c r="B115" s="214"/>
      <c r="C115" s="213"/>
      <c r="D115" s="215"/>
      <c r="E115" s="216"/>
      <c r="F115" s="216"/>
      <c r="G115" s="216"/>
      <c r="H115" s="187"/>
      <c r="I115" s="187"/>
      <c r="J115" s="216"/>
      <c r="K115" s="216"/>
      <c r="L115" s="216"/>
      <c r="M115" s="216"/>
      <c r="N115" s="216"/>
      <c r="O115" s="216"/>
      <c r="P115" s="216"/>
    </row>
    <row r="116" spans="1:16" ht="12.75">
      <c r="A116" s="213"/>
      <c r="B116" s="214"/>
      <c r="C116" s="213"/>
      <c r="D116" s="215"/>
      <c r="E116" s="216"/>
      <c r="F116" s="216"/>
      <c r="G116" s="216"/>
      <c r="H116" s="187"/>
      <c r="I116" s="187"/>
      <c r="J116" s="216"/>
      <c r="K116" s="216"/>
      <c r="L116" s="216"/>
      <c r="M116" s="216"/>
      <c r="N116" s="216"/>
      <c r="O116" s="216"/>
      <c r="P116" s="216"/>
    </row>
    <row r="117" spans="1:16" ht="12.75">
      <c r="A117" s="213"/>
      <c r="B117" s="214"/>
      <c r="C117" s="213"/>
      <c r="D117" s="215"/>
      <c r="E117" s="216"/>
      <c r="F117" s="216"/>
      <c r="G117" s="216"/>
      <c r="H117" s="187"/>
      <c r="I117" s="187"/>
      <c r="J117" s="216"/>
      <c r="K117" s="216"/>
      <c r="L117" s="216"/>
      <c r="M117" s="216"/>
      <c r="N117" s="216"/>
      <c r="O117" s="216"/>
      <c r="P117" s="216"/>
    </row>
    <row r="118" spans="1:16" ht="12.75">
      <c r="A118" s="213"/>
      <c r="B118" s="214"/>
      <c r="C118" s="213"/>
      <c r="D118" s="215"/>
      <c r="E118" s="216"/>
      <c r="F118" s="216"/>
      <c r="G118" s="216"/>
      <c r="H118" s="187"/>
      <c r="I118" s="187"/>
      <c r="J118" s="216"/>
      <c r="K118" s="216"/>
      <c r="L118" s="216"/>
      <c r="M118" s="216"/>
      <c r="N118" s="216"/>
      <c r="O118" s="216"/>
      <c r="P118" s="216"/>
    </row>
    <row r="119" spans="1:16" ht="12.75">
      <c r="A119" s="213"/>
      <c r="B119" s="214"/>
      <c r="C119" s="213"/>
      <c r="D119" s="215"/>
      <c r="E119" s="216"/>
      <c r="F119" s="216"/>
      <c r="G119" s="216"/>
      <c r="H119" s="187"/>
      <c r="I119" s="187"/>
      <c r="J119" s="216"/>
      <c r="K119" s="216"/>
      <c r="L119" s="216"/>
      <c r="M119" s="216"/>
      <c r="N119" s="216"/>
      <c r="O119" s="216"/>
      <c r="P119" s="216"/>
    </row>
    <row r="120" spans="1:16" ht="12.75">
      <c r="A120" s="213"/>
      <c r="B120" s="214"/>
      <c r="C120" s="213"/>
      <c r="D120" s="215"/>
      <c r="E120" s="216"/>
      <c r="F120" s="216"/>
      <c r="G120" s="216"/>
      <c r="H120" s="187"/>
      <c r="I120" s="187"/>
      <c r="J120" s="216"/>
      <c r="K120" s="216"/>
      <c r="L120" s="216"/>
      <c r="M120" s="216"/>
      <c r="N120" s="216"/>
      <c r="O120" s="216"/>
      <c r="P120" s="216"/>
    </row>
    <row r="121" spans="1:16" ht="12.75">
      <c r="A121" s="213"/>
      <c r="B121" s="214"/>
      <c r="C121" s="213"/>
      <c r="D121" s="215"/>
      <c r="E121" s="216"/>
      <c r="F121" s="216"/>
      <c r="G121" s="216"/>
      <c r="H121" s="187"/>
      <c r="I121" s="187"/>
      <c r="J121" s="216"/>
      <c r="K121" s="216"/>
      <c r="L121" s="216"/>
      <c r="M121" s="216"/>
      <c r="N121" s="216"/>
      <c r="O121" s="216"/>
      <c r="P121" s="216"/>
    </row>
    <row r="122" spans="1:16" ht="12.75">
      <c r="A122" s="213"/>
      <c r="B122" s="214"/>
      <c r="C122" s="213"/>
      <c r="D122" s="215"/>
      <c r="E122" s="216"/>
      <c r="F122" s="216"/>
      <c r="G122" s="216"/>
      <c r="H122" s="187"/>
      <c r="I122" s="187"/>
      <c r="J122" s="216"/>
      <c r="K122" s="216"/>
      <c r="L122" s="216"/>
      <c r="M122" s="216"/>
      <c r="N122" s="216"/>
      <c r="O122" s="216"/>
      <c r="P122" s="216"/>
    </row>
    <row r="123" spans="1:16" ht="12.75">
      <c r="A123" s="213"/>
      <c r="B123" s="214"/>
      <c r="C123" s="213"/>
      <c r="D123" s="215"/>
      <c r="E123" s="216"/>
      <c r="F123" s="216"/>
      <c r="G123" s="216"/>
      <c r="H123" s="187"/>
      <c r="I123" s="187"/>
      <c r="J123" s="216"/>
      <c r="K123" s="216"/>
      <c r="L123" s="216"/>
      <c r="M123" s="216"/>
      <c r="N123" s="216"/>
      <c r="O123" s="216"/>
      <c r="P123" s="216"/>
    </row>
    <row r="124" spans="1:16" ht="12.75">
      <c r="A124" s="213"/>
      <c r="B124" s="214"/>
      <c r="C124" s="213"/>
      <c r="D124" s="215"/>
      <c r="E124" s="216"/>
      <c r="F124" s="216"/>
      <c r="G124" s="216"/>
      <c r="H124" s="187"/>
      <c r="I124" s="187"/>
      <c r="J124" s="216"/>
      <c r="K124" s="216"/>
      <c r="L124" s="216"/>
      <c r="M124" s="216"/>
      <c r="N124" s="216"/>
      <c r="O124" s="216"/>
      <c r="P124" s="216"/>
    </row>
    <row r="125" spans="1:16" ht="12.75">
      <c r="A125" s="213"/>
      <c r="B125" s="214"/>
      <c r="C125" s="213"/>
      <c r="D125" s="215"/>
      <c r="E125" s="216"/>
      <c r="F125" s="216"/>
      <c r="G125" s="216"/>
      <c r="H125" s="187"/>
      <c r="I125" s="187"/>
      <c r="J125" s="216"/>
      <c r="K125" s="216"/>
      <c r="L125" s="216"/>
      <c r="M125" s="216"/>
      <c r="N125" s="216"/>
      <c r="O125" s="216"/>
      <c r="P125" s="216"/>
    </row>
    <row r="126" spans="1:16" ht="12.75">
      <c r="A126" s="213"/>
      <c r="B126" s="214"/>
      <c r="C126" s="213"/>
      <c r="D126" s="215"/>
      <c r="E126" s="216"/>
      <c r="F126" s="216"/>
      <c r="G126" s="216"/>
      <c r="H126" s="187"/>
      <c r="I126" s="187"/>
      <c r="J126" s="216"/>
      <c r="K126" s="216"/>
      <c r="L126" s="216"/>
      <c r="M126" s="216"/>
      <c r="N126" s="216"/>
      <c r="O126" s="216"/>
      <c r="P126" s="216"/>
    </row>
    <row r="127" spans="1:16" ht="12.75">
      <c r="A127" s="213"/>
      <c r="B127" s="214"/>
      <c r="C127" s="213"/>
      <c r="D127" s="215"/>
      <c r="E127" s="216"/>
      <c r="F127" s="216"/>
      <c r="G127" s="216"/>
      <c r="H127" s="187"/>
      <c r="I127" s="187"/>
      <c r="J127" s="216"/>
      <c r="K127" s="216"/>
      <c r="L127" s="216"/>
      <c r="M127" s="216"/>
      <c r="N127" s="216"/>
      <c r="O127" s="216"/>
      <c r="P127" s="216"/>
    </row>
    <row r="128" spans="1:16" ht="12.75">
      <c r="A128" s="213"/>
      <c r="B128" s="214"/>
      <c r="C128" s="213"/>
      <c r="D128" s="215"/>
      <c r="E128" s="216"/>
      <c r="F128" s="216"/>
      <c r="G128" s="216"/>
      <c r="H128" s="187"/>
      <c r="I128" s="187"/>
      <c r="J128" s="216"/>
      <c r="K128" s="216"/>
      <c r="L128" s="216"/>
      <c r="M128" s="216"/>
      <c r="N128" s="216"/>
      <c r="O128" s="216"/>
      <c r="P128" s="216"/>
    </row>
    <row r="129" spans="1:16" ht="12.75">
      <c r="A129" s="213"/>
      <c r="B129" s="214"/>
      <c r="C129" s="213"/>
      <c r="D129" s="215"/>
      <c r="E129" s="216"/>
      <c r="F129" s="216"/>
      <c r="G129" s="216"/>
      <c r="H129" s="187"/>
      <c r="I129" s="187"/>
      <c r="J129" s="216"/>
      <c r="K129" s="216"/>
      <c r="L129" s="216"/>
      <c r="M129" s="216"/>
      <c r="N129" s="216"/>
      <c r="O129" s="216"/>
      <c r="P129" s="216"/>
    </row>
    <row r="130" spans="1:16" ht="12.75">
      <c r="A130" s="213"/>
      <c r="B130" s="214"/>
      <c r="C130" s="213"/>
      <c r="D130" s="215"/>
      <c r="E130" s="216"/>
      <c r="F130" s="216"/>
      <c r="G130" s="216"/>
      <c r="H130" s="187"/>
      <c r="I130" s="187"/>
      <c r="J130" s="216"/>
      <c r="K130" s="216"/>
      <c r="L130" s="216"/>
      <c r="M130" s="216"/>
      <c r="N130" s="216"/>
      <c r="O130" s="216"/>
      <c r="P130" s="216"/>
    </row>
    <row r="131" spans="1:16" ht="12.75">
      <c r="A131" s="213"/>
      <c r="B131" s="214"/>
      <c r="C131" s="213"/>
      <c r="D131" s="215"/>
      <c r="E131" s="216"/>
      <c r="F131" s="216"/>
      <c r="G131" s="216"/>
      <c r="H131" s="187"/>
      <c r="I131" s="187"/>
      <c r="J131" s="216"/>
      <c r="K131" s="216"/>
      <c r="L131" s="216"/>
      <c r="M131" s="216"/>
      <c r="N131" s="216"/>
      <c r="O131" s="216"/>
      <c r="P131" s="216"/>
    </row>
    <row r="132" spans="1:16" ht="12.75">
      <c r="A132" s="213"/>
      <c r="B132" s="214"/>
      <c r="C132" s="213"/>
      <c r="D132" s="215"/>
      <c r="E132" s="216"/>
      <c r="F132" s="216"/>
      <c r="G132" s="216"/>
      <c r="H132" s="187"/>
      <c r="I132" s="187"/>
      <c r="J132" s="216"/>
      <c r="K132" s="216"/>
      <c r="L132" s="216"/>
      <c r="M132" s="216"/>
      <c r="N132" s="216"/>
      <c r="O132" s="216"/>
      <c r="P132" s="216"/>
    </row>
    <row r="133" spans="1:16" ht="12.75">
      <c r="A133" s="213"/>
      <c r="B133" s="214"/>
      <c r="C133" s="213"/>
      <c r="D133" s="215"/>
      <c r="E133" s="216"/>
      <c r="F133" s="216"/>
      <c r="G133" s="216"/>
      <c r="H133" s="187"/>
      <c r="I133" s="187"/>
      <c r="J133" s="216"/>
      <c r="K133" s="216"/>
      <c r="L133" s="216"/>
      <c r="M133" s="216"/>
      <c r="N133" s="216"/>
      <c r="O133" s="216"/>
      <c r="P133" s="216"/>
    </row>
    <row r="134" spans="1:16" ht="12.75">
      <c r="A134" s="213"/>
      <c r="B134" s="214"/>
      <c r="C134" s="213"/>
      <c r="D134" s="215"/>
      <c r="E134" s="216"/>
      <c r="F134" s="216"/>
      <c r="G134" s="216"/>
      <c r="H134" s="187"/>
      <c r="I134" s="187"/>
      <c r="J134" s="216"/>
      <c r="K134" s="216"/>
      <c r="L134" s="216"/>
      <c r="M134" s="216"/>
      <c r="N134" s="216"/>
      <c r="O134" s="216"/>
      <c r="P134" s="216"/>
    </row>
    <row r="135" spans="1:16" ht="12.75">
      <c r="A135" s="213"/>
      <c r="B135" s="214"/>
      <c r="C135" s="213"/>
      <c r="D135" s="215"/>
      <c r="E135" s="216"/>
      <c r="F135" s="216"/>
      <c r="G135" s="216"/>
      <c r="H135" s="187"/>
      <c r="I135" s="187"/>
      <c r="J135" s="216"/>
      <c r="K135" s="216"/>
      <c r="L135" s="216"/>
      <c r="M135" s="216"/>
      <c r="N135" s="216"/>
      <c r="O135" s="216"/>
      <c r="P135" s="216"/>
    </row>
    <row r="136" spans="1:16" ht="12.75">
      <c r="A136" s="213"/>
      <c r="B136" s="214"/>
      <c r="C136" s="213"/>
      <c r="D136" s="215"/>
      <c r="E136" s="216"/>
      <c r="F136" s="216"/>
      <c r="G136" s="216"/>
      <c r="H136" s="187"/>
      <c r="I136" s="187"/>
      <c r="J136" s="216"/>
      <c r="K136" s="216"/>
      <c r="L136" s="216"/>
      <c r="M136" s="216"/>
      <c r="N136" s="216"/>
      <c r="O136" s="216"/>
      <c r="P136" s="216"/>
    </row>
    <row r="137" spans="1:16" ht="12.75">
      <c r="A137" s="213"/>
      <c r="B137" s="214"/>
      <c r="C137" s="213"/>
      <c r="D137" s="215"/>
      <c r="E137" s="216"/>
      <c r="F137" s="216"/>
      <c r="G137" s="216"/>
      <c r="H137" s="187"/>
      <c r="I137" s="187"/>
      <c r="J137" s="216"/>
      <c r="K137" s="216"/>
      <c r="L137" s="216"/>
      <c r="M137" s="216"/>
      <c r="N137" s="216"/>
      <c r="O137" s="216"/>
      <c r="P137" s="216"/>
    </row>
    <row r="138" spans="1:16" ht="12.75">
      <c r="A138" s="213"/>
      <c r="B138" s="214"/>
      <c r="C138" s="213"/>
      <c r="D138" s="215"/>
      <c r="E138" s="216"/>
      <c r="F138" s="216"/>
      <c r="G138" s="216"/>
      <c r="H138" s="187"/>
      <c r="I138" s="187"/>
      <c r="J138" s="216"/>
      <c r="K138" s="216"/>
      <c r="L138" s="216"/>
      <c r="M138" s="216"/>
      <c r="N138" s="216"/>
      <c r="O138" s="216"/>
      <c r="P138" s="216"/>
    </row>
    <row r="139" spans="1:16" ht="12.75">
      <c r="A139" s="213"/>
      <c r="B139" s="214"/>
      <c r="C139" s="213"/>
      <c r="D139" s="215"/>
      <c r="E139" s="216"/>
      <c r="F139" s="216"/>
      <c r="G139" s="216"/>
      <c r="H139" s="187"/>
      <c r="I139" s="187"/>
      <c r="J139" s="216"/>
      <c r="K139" s="216"/>
      <c r="L139" s="216"/>
      <c r="M139" s="216"/>
      <c r="N139" s="216"/>
      <c r="O139" s="216"/>
      <c r="P139" s="216"/>
    </row>
    <row r="140" spans="1:16" ht="12.75">
      <c r="A140" s="213"/>
      <c r="B140" s="214"/>
      <c r="C140" s="213"/>
      <c r="D140" s="215"/>
      <c r="E140" s="216"/>
      <c r="F140" s="216"/>
      <c r="G140" s="216"/>
      <c r="H140" s="187"/>
      <c r="I140" s="187"/>
      <c r="J140" s="216"/>
      <c r="K140" s="216"/>
      <c r="L140" s="216"/>
      <c r="M140" s="216"/>
      <c r="N140" s="216"/>
      <c r="O140" s="216"/>
      <c r="P140" s="216"/>
    </row>
    <row r="141" spans="1:16" ht="12.75">
      <c r="A141" s="213"/>
      <c r="B141" s="214"/>
      <c r="C141" s="213"/>
      <c r="D141" s="215"/>
      <c r="E141" s="216"/>
      <c r="F141" s="216"/>
      <c r="G141" s="216"/>
      <c r="H141" s="187"/>
      <c r="I141" s="187"/>
      <c r="J141" s="216"/>
      <c r="K141" s="216"/>
      <c r="L141" s="216"/>
      <c r="M141" s="216"/>
      <c r="N141" s="216"/>
      <c r="O141" s="216"/>
      <c r="P141" s="216"/>
    </row>
    <row r="142" spans="1:16" ht="12.75">
      <c r="A142" s="213"/>
      <c r="B142" s="214"/>
      <c r="C142" s="213"/>
      <c r="D142" s="215"/>
      <c r="E142" s="216"/>
      <c r="F142" s="216"/>
      <c r="G142" s="216"/>
      <c r="H142" s="187"/>
      <c r="I142" s="187"/>
      <c r="J142" s="216"/>
      <c r="K142" s="216"/>
      <c r="L142" s="216"/>
      <c r="M142" s="216"/>
      <c r="N142" s="216"/>
      <c r="O142" s="216"/>
      <c r="P142" s="216"/>
    </row>
    <row r="143" spans="1:16" ht="12.75">
      <c r="A143" s="213"/>
      <c r="B143" s="214"/>
      <c r="C143" s="213"/>
      <c r="D143" s="215"/>
      <c r="E143" s="216"/>
      <c r="F143" s="216"/>
      <c r="G143" s="216"/>
      <c r="H143" s="187"/>
      <c r="I143" s="187"/>
      <c r="J143" s="216"/>
      <c r="K143" s="216"/>
      <c r="L143" s="216"/>
      <c r="M143" s="216"/>
      <c r="N143" s="216"/>
      <c r="O143" s="216"/>
      <c r="P143" s="216"/>
    </row>
    <row r="144" spans="1:16" ht="12.75">
      <c r="A144" s="213"/>
      <c r="B144" s="214"/>
      <c r="C144" s="213"/>
      <c r="D144" s="215"/>
      <c r="E144" s="216"/>
      <c r="F144" s="216"/>
      <c r="G144" s="216"/>
      <c r="H144" s="187"/>
      <c r="I144" s="187"/>
      <c r="J144" s="216"/>
      <c r="K144" s="216"/>
      <c r="L144" s="216"/>
      <c r="M144" s="216"/>
      <c r="N144" s="216"/>
      <c r="O144" s="216"/>
      <c r="P144" s="216"/>
    </row>
    <row r="145" spans="1:16" ht="12.75">
      <c r="A145" s="213"/>
      <c r="B145" s="214"/>
      <c r="C145" s="213"/>
      <c r="D145" s="215"/>
      <c r="E145" s="216"/>
      <c r="F145" s="216"/>
      <c r="G145" s="216"/>
      <c r="H145" s="187"/>
      <c r="I145" s="187"/>
      <c r="J145" s="216"/>
      <c r="K145" s="216"/>
      <c r="L145" s="216"/>
      <c r="M145" s="216"/>
      <c r="N145" s="216"/>
      <c r="O145" s="216"/>
      <c r="P145" s="216"/>
    </row>
    <row r="146" spans="1:16" ht="12.75">
      <c r="A146" s="213"/>
      <c r="B146" s="214"/>
      <c r="C146" s="213"/>
      <c r="D146" s="215"/>
      <c r="E146" s="216"/>
      <c r="F146" s="216"/>
      <c r="G146" s="216"/>
      <c r="H146" s="187"/>
      <c r="I146" s="187"/>
      <c r="J146" s="216"/>
      <c r="K146" s="216"/>
      <c r="L146" s="216"/>
      <c r="M146" s="216"/>
      <c r="N146" s="216"/>
      <c r="O146" s="216"/>
      <c r="P146" s="216"/>
    </row>
    <row r="147" spans="1:16" ht="12.75">
      <c r="A147" s="213"/>
      <c r="B147" s="214"/>
      <c r="C147" s="213"/>
      <c r="D147" s="215"/>
      <c r="E147" s="216"/>
      <c r="F147" s="216"/>
      <c r="G147" s="216"/>
      <c r="H147" s="187"/>
      <c r="I147" s="187"/>
      <c r="J147" s="216"/>
      <c r="K147" s="216"/>
      <c r="L147" s="216"/>
      <c r="M147" s="216"/>
      <c r="N147" s="216"/>
      <c r="O147" s="216"/>
      <c r="P147" s="216"/>
    </row>
    <row r="148" spans="1:16" ht="12.75">
      <c r="A148" s="213"/>
      <c r="B148" s="214"/>
      <c r="C148" s="213"/>
      <c r="D148" s="215"/>
      <c r="E148" s="216"/>
      <c r="F148" s="216"/>
      <c r="G148" s="216"/>
      <c r="H148" s="187"/>
      <c r="I148" s="187"/>
      <c r="J148" s="216"/>
      <c r="K148" s="216"/>
      <c r="L148" s="216"/>
      <c r="M148" s="216"/>
      <c r="N148" s="216"/>
      <c r="O148" s="216"/>
      <c r="P148" s="216"/>
    </row>
    <row r="149" spans="1:16" ht="12.75">
      <c r="A149" s="213"/>
      <c r="B149" s="214"/>
      <c r="C149" s="213"/>
      <c r="D149" s="215"/>
      <c r="E149" s="216"/>
      <c r="F149" s="216"/>
      <c r="G149" s="216"/>
      <c r="H149" s="187"/>
      <c r="I149" s="187"/>
      <c r="J149" s="216"/>
      <c r="K149" s="216"/>
      <c r="L149" s="216"/>
      <c r="M149" s="216"/>
      <c r="N149" s="216"/>
      <c r="O149" s="216"/>
      <c r="P149" s="216"/>
    </row>
    <row r="150" spans="1:16" ht="12.75">
      <c r="A150" s="213"/>
      <c r="B150" s="214"/>
      <c r="C150" s="213"/>
      <c r="D150" s="215"/>
      <c r="E150" s="216"/>
      <c r="F150" s="216"/>
      <c r="G150" s="216"/>
      <c r="H150" s="187"/>
      <c r="I150" s="187"/>
      <c r="J150" s="216"/>
      <c r="K150" s="216"/>
      <c r="L150" s="216"/>
      <c r="M150" s="216"/>
      <c r="N150" s="216"/>
      <c r="O150" s="216"/>
      <c r="P150" s="216"/>
    </row>
    <row r="151" spans="1:16" ht="12.75">
      <c r="A151" s="213"/>
      <c r="B151" s="214"/>
      <c r="C151" s="213"/>
      <c r="D151" s="215"/>
      <c r="E151" s="216"/>
      <c r="F151" s="216"/>
      <c r="G151" s="216"/>
      <c r="H151" s="187"/>
      <c r="I151" s="187"/>
      <c r="J151" s="216"/>
      <c r="K151" s="216"/>
      <c r="L151" s="216"/>
      <c r="M151" s="216"/>
      <c r="N151" s="216"/>
      <c r="O151" s="216"/>
      <c r="P151" s="216"/>
    </row>
    <row r="152" spans="1:16" ht="12.75">
      <c r="A152" s="213"/>
      <c r="B152" s="214"/>
      <c r="C152" s="213"/>
      <c r="D152" s="215"/>
      <c r="E152" s="216"/>
      <c r="F152" s="216"/>
      <c r="G152" s="216"/>
      <c r="H152" s="187"/>
      <c r="I152" s="187"/>
      <c r="J152" s="216"/>
      <c r="K152" s="216"/>
      <c r="L152" s="216"/>
      <c r="M152" s="216"/>
      <c r="N152" s="216"/>
      <c r="O152" s="216"/>
      <c r="P152" s="216"/>
    </row>
    <row r="153" spans="1:16" ht="12.75">
      <c r="A153" s="213"/>
      <c r="B153" s="214"/>
      <c r="C153" s="213"/>
      <c r="D153" s="215"/>
      <c r="E153" s="216"/>
      <c r="F153" s="216"/>
      <c r="G153" s="216"/>
      <c r="H153" s="187"/>
      <c r="I153" s="187"/>
      <c r="J153" s="216"/>
      <c r="K153" s="216"/>
      <c r="L153" s="216"/>
      <c r="M153" s="216"/>
      <c r="N153" s="216"/>
      <c r="O153" s="216"/>
      <c r="P153" s="216"/>
    </row>
    <row r="154" spans="1:16" ht="12.75">
      <c r="A154" s="213"/>
      <c r="B154" s="214"/>
      <c r="C154" s="213"/>
      <c r="D154" s="215"/>
      <c r="E154" s="216"/>
      <c r="F154" s="216"/>
      <c r="G154" s="216"/>
      <c r="H154" s="187"/>
      <c r="I154" s="187"/>
      <c r="J154" s="216"/>
      <c r="K154" s="216"/>
      <c r="L154" s="216"/>
      <c r="M154" s="216"/>
      <c r="N154" s="216"/>
      <c r="O154" s="216"/>
      <c r="P154" s="216"/>
    </row>
    <row r="155" spans="1:16" ht="12.75">
      <c r="A155" s="213"/>
      <c r="B155" s="214"/>
      <c r="C155" s="213"/>
      <c r="D155" s="215"/>
      <c r="E155" s="216"/>
      <c r="F155" s="216"/>
      <c r="G155" s="216"/>
      <c r="H155" s="187"/>
      <c r="I155" s="187"/>
      <c r="J155" s="216"/>
      <c r="K155" s="216"/>
      <c r="L155" s="216"/>
      <c r="M155" s="216"/>
      <c r="N155" s="216"/>
      <c r="O155" s="216"/>
      <c r="P155" s="216"/>
    </row>
    <row r="156" spans="1:16" ht="12.75">
      <c r="A156" s="213"/>
      <c r="B156" s="214"/>
      <c r="C156" s="213"/>
      <c r="D156" s="215"/>
      <c r="E156" s="216"/>
      <c r="F156" s="216"/>
      <c r="G156" s="216"/>
      <c r="H156" s="187"/>
      <c r="I156" s="187"/>
      <c r="J156" s="216"/>
      <c r="K156" s="216"/>
      <c r="L156" s="216"/>
      <c r="M156" s="216"/>
      <c r="N156" s="216"/>
      <c r="O156" s="216"/>
      <c r="P156" s="216"/>
    </row>
    <row r="157" spans="1:16" ht="12.75">
      <c r="A157" s="213"/>
      <c r="B157" s="214"/>
      <c r="C157" s="213"/>
      <c r="D157" s="215"/>
      <c r="E157" s="216"/>
      <c r="F157" s="216"/>
      <c r="G157" s="216"/>
      <c r="H157" s="187"/>
      <c r="I157" s="187"/>
      <c r="J157" s="216"/>
      <c r="K157" s="216"/>
      <c r="L157" s="216"/>
      <c r="M157" s="216"/>
      <c r="N157" s="216"/>
      <c r="O157" s="216"/>
      <c r="P157" s="216"/>
    </row>
    <row r="158" spans="1:16" ht="12.75">
      <c r="A158" s="213"/>
      <c r="B158" s="214"/>
      <c r="C158" s="213"/>
      <c r="D158" s="215"/>
      <c r="E158" s="216"/>
      <c r="F158" s="216"/>
      <c r="G158" s="216"/>
      <c r="H158" s="187"/>
      <c r="I158" s="187"/>
      <c r="J158" s="216"/>
      <c r="K158" s="216"/>
      <c r="L158" s="216"/>
      <c r="M158" s="216"/>
      <c r="N158" s="216"/>
      <c r="O158" s="216"/>
      <c r="P158" s="216"/>
    </row>
    <row r="159" spans="1:16" ht="12.75">
      <c r="A159" s="213"/>
      <c r="B159" s="214"/>
      <c r="C159" s="213"/>
      <c r="D159" s="215"/>
      <c r="E159" s="216"/>
      <c r="F159" s="216"/>
      <c r="G159" s="216"/>
      <c r="H159" s="187"/>
      <c r="I159" s="187"/>
      <c r="J159" s="216"/>
      <c r="K159" s="216"/>
      <c r="L159" s="216"/>
      <c r="M159" s="216"/>
      <c r="N159" s="216"/>
      <c r="O159" s="216"/>
      <c r="P159" s="216"/>
    </row>
    <row r="160" spans="1:16" ht="12.75">
      <c r="A160" s="213"/>
      <c r="B160" s="214"/>
      <c r="C160" s="213"/>
      <c r="D160" s="215"/>
      <c r="E160" s="216"/>
      <c r="F160" s="216"/>
      <c r="G160" s="216"/>
      <c r="H160" s="187"/>
      <c r="I160" s="187"/>
      <c r="J160" s="216"/>
      <c r="K160" s="216"/>
      <c r="L160" s="216"/>
      <c r="M160" s="216"/>
      <c r="N160" s="216"/>
      <c r="O160" s="216"/>
      <c r="P160" s="216"/>
    </row>
    <row r="161" spans="1:16" ht="12.75">
      <c r="A161" s="213"/>
      <c r="B161" s="214"/>
      <c r="C161" s="213"/>
      <c r="D161" s="215"/>
      <c r="E161" s="216"/>
      <c r="F161" s="216"/>
      <c r="G161" s="216"/>
      <c r="H161" s="187"/>
      <c r="I161" s="187"/>
      <c r="J161" s="216"/>
      <c r="K161" s="216"/>
      <c r="L161" s="216"/>
      <c r="M161" s="216"/>
      <c r="N161" s="216"/>
      <c r="O161" s="216"/>
      <c r="P161" s="216"/>
    </row>
    <row r="162" spans="1:16" ht="12.75">
      <c r="A162" s="213"/>
      <c r="B162" s="214"/>
      <c r="C162" s="213"/>
      <c r="D162" s="215"/>
      <c r="E162" s="216"/>
      <c r="F162" s="216"/>
      <c r="G162" s="216"/>
      <c r="H162" s="187"/>
      <c r="I162" s="187"/>
      <c r="J162" s="216"/>
      <c r="K162" s="216"/>
      <c r="L162" s="216"/>
      <c r="M162" s="216"/>
      <c r="N162" s="216"/>
      <c r="O162" s="216"/>
      <c r="P162" s="216"/>
    </row>
    <row r="163" spans="1:16" ht="12.75">
      <c r="A163" s="213"/>
      <c r="B163" s="214"/>
      <c r="C163" s="213"/>
      <c r="D163" s="215"/>
      <c r="E163" s="216"/>
      <c r="F163" s="216"/>
      <c r="G163" s="216"/>
      <c r="H163" s="187"/>
      <c r="I163" s="187"/>
      <c r="J163" s="216"/>
      <c r="K163" s="216"/>
      <c r="L163" s="216"/>
      <c r="M163" s="216"/>
      <c r="N163" s="216"/>
      <c r="O163" s="216"/>
      <c r="P163" s="216"/>
    </row>
    <row r="164" spans="1:16" ht="12.75">
      <c r="A164" s="213"/>
      <c r="B164" s="214"/>
      <c r="C164" s="213"/>
      <c r="D164" s="215"/>
      <c r="E164" s="216"/>
      <c r="F164" s="216"/>
      <c r="G164" s="216"/>
      <c r="H164" s="187"/>
      <c r="I164" s="187"/>
      <c r="J164" s="216"/>
      <c r="K164" s="216"/>
      <c r="L164" s="216"/>
      <c r="M164" s="216"/>
      <c r="N164" s="216"/>
      <c r="O164" s="216"/>
      <c r="P164" s="216"/>
    </row>
    <row r="165" spans="1:16" ht="12.75">
      <c r="A165" s="213"/>
      <c r="B165" s="214"/>
      <c r="C165" s="213"/>
      <c r="D165" s="215"/>
      <c r="E165" s="216"/>
      <c r="F165" s="216"/>
      <c r="G165" s="216"/>
      <c r="H165" s="187"/>
      <c r="I165" s="187"/>
      <c r="J165" s="216"/>
      <c r="K165" s="216"/>
      <c r="L165" s="216"/>
      <c r="M165" s="216"/>
      <c r="N165" s="216"/>
      <c r="O165" s="216"/>
      <c r="P165" s="216"/>
    </row>
    <row r="166" spans="1:16" ht="12.75">
      <c r="A166" s="213"/>
      <c r="B166" s="214"/>
      <c r="C166" s="213"/>
      <c r="D166" s="215"/>
      <c r="E166" s="216"/>
      <c r="F166" s="216"/>
      <c r="G166" s="216"/>
      <c r="H166" s="187"/>
      <c r="I166" s="187"/>
      <c r="J166" s="216"/>
      <c r="K166" s="216"/>
      <c r="L166" s="216"/>
      <c r="M166" s="216"/>
      <c r="N166" s="216"/>
      <c r="O166" s="216"/>
      <c r="P166" s="216"/>
    </row>
    <row r="167" spans="1:16" ht="12.75">
      <c r="A167" s="213"/>
      <c r="B167" s="214"/>
      <c r="C167" s="213"/>
      <c r="D167" s="215"/>
      <c r="E167" s="216"/>
      <c r="F167" s="216"/>
      <c r="G167" s="216"/>
      <c r="H167" s="187"/>
      <c r="I167" s="187"/>
      <c r="J167" s="216"/>
      <c r="K167" s="216"/>
      <c r="L167" s="216"/>
      <c r="M167" s="216"/>
      <c r="N167" s="216"/>
      <c r="O167" s="216"/>
      <c r="P167" s="216"/>
    </row>
    <row r="168" spans="1:16" ht="12.75">
      <c r="A168" s="213"/>
      <c r="B168" s="214"/>
      <c r="C168" s="213"/>
      <c r="D168" s="215"/>
      <c r="E168" s="216"/>
      <c r="F168" s="216"/>
      <c r="G168" s="216"/>
      <c r="H168" s="187"/>
      <c r="I168" s="187"/>
      <c r="J168" s="216"/>
      <c r="K168" s="216"/>
      <c r="L168" s="216"/>
      <c r="M168" s="216"/>
      <c r="N168" s="216"/>
      <c r="O168" s="216"/>
      <c r="P168" s="216"/>
    </row>
    <row r="169" spans="1:16" ht="12.75">
      <c r="A169" s="213"/>
      <c r="B169" s="214"/>
      <c r="C169" s="213"/>
      <c r="D169" s="215"/>
      <c r="E169" s="216"/>
      <c r="F169" s="216"/>
      <c r="G169" s="216"/>
      <c r="H169" s="187"/>
      <c r="I169" s="187"/>
      <c r="J169" s="216"/>
      <c r="K169" s="216"/>
      <c r="L169" s="216"/>
      <c r="M169" s="216"/>
      <c r="N169" s="216"/>
      <c r="O169" s="216"/>
      <c r="P169" s="216"/>
    </row>
    <row r="170" spans="1:16" ht="12.75">
      <c r="A170" s="213"/>
      <c r="B170" s="214"/>
      <c r="C170" s="213"/>
      <c r="D170" s="215"/>
      <c r="E170" s="216"/>
      <c r="F170" s="216"/>
      <c r="G170" s="216"/>
      <c r="H170" s="187"/>
      <c r="I170" s="187"/>
      <c r="J170" s="216"/>
      <c r="K170" s="216"/>
      <c r="L170" s="216"/>
      <c r="M170" s="216"/>
      <c r="N170" s="216"/>
      <c r="O170" s="216"/>
      <c r="P170" s="216"/>
    </row>
    <row r="171" spans="1:16" ht="12.75">
      <c r="A171" s="213"/>
      <c r="B171" s="214"/>
      <c r="C171" s="213"/>
      <c r="D171" s="215"/>
      <c r="E171" s="216"/>
      <c r="F171" s="216"/>
      <c r="G171" s="216"/>
      <c r="H171" s="187"/>
      <c r="I171" s="187"/>
      <c r="J171" s="216"/>
      <c r="K171" s="216"/>
      <c r="L171" s="216"/>
      <c r="M171" s="216"/>
      <c r="N171" s="216"/>
      <c r="O171" s="216"/>
      <c r="P171" s="216"/>
    </row>
    <row r="172" spans="1:16" ht="12.75">
      <c r="A172" s="213"/>
      <c r="B172" s="214"/>
      <c r="C172" s="213"/>
      <c r="D172" s="215"/>
      <c r="E172" s="216"/>
      <c r="F172" s="216"/>
      <c r="G172" s="216"/>
      <c r="H172" s="187"/>
      <c r="I172" s="187"/>
      <c r="J172" s="216"/>
      <c r="K172" s="216"/>
      <c r="L172" s="216"/>
      <c r="M172" s="216"/>
      <c r="N172" s="216"/>
      <c r="O172" s="216"/>
      <c r="P172" s="216"/>
    </row>
    <row r="173" spans="1:16" ht="12.75">
      <c r="A173" s="213"/>
      <c r="B173" s="214"/>
      <c r="C173" s="213"/>
      <c r="D173" s="215"/>
      <c r="E173" s="216"/>
      <c r="F173" s="216"/>
      <c r="G173" s="216"/>
      <c r="H173" s="187"/>
      <c r="I173" s="187"/>
      <c r="J173" s="216"/>
      <c r="K173" s="216"/>
      <c r="L173" s="216"/>
      <c r="M173" s="216"/>
      <c r="N173" s="216"/>
      <c r="O173" s="216"/>
      <c r="P173" s="216"/>
    </row>
    <row r="174" spans="1:16" ht="12.75">
      <c r="A174" s="213"/>
      <c r="B174" s="214"/>
      <c r="C174" s="213"/>
      <c r="D174" s="215"/>
      <c r="E174" s="216"/>
      <c r="F174" s="216"/>
      <c r="G174" s="216"/>
      <c r="H174" s="187"/>
      <c r="I174" s="187"/>
      <c r="J174" s="216"/>
      <c r="K174" s="216"/>
      <c r="L174" s="216"/>
      <c r="M174" s="216"/>
      <c r="N174" s="216"/>
      <c r="O174" s="216"/>
      <c r="P174" s="216"/>
    </row>
    <row r="175" spans="1:16" ht="12.75">
      <c r="A175" s="213"/>
      <c r="B175" s="214"/>
      <c r="C175" s="213"/>
      <c r="D175" s="215"/>
      <c r="E175" s="216"/>
      <c r="F175" s="216"/>
      <c r="G175" s="216"/>
      <c r="H175" s="187"/>
      <c r="I175" s="187"/>
      <c r="J175" s="216"/>
      <c r="K175" s="216"/>
      <c r="L175" s="216"/>
      <c r="M175" s="216"/>
      <c r="N175" s="216"/>
      <c r="O175" s="216"/>
      <c r="P175" s="216"/>
    </row>
    <row r="176" spans="1:16" ht="12.75">
      <c r="A176" s="213"/>
      <c r="B176" s="214"/>
      <c r="C176" s="213"/>
      <c r="D176" s="215"/>
      <c r="E176" s="216"/>
      <c r="F176" s="216"/>
      <c r="G176" s="216"/>
      <c r="H176" s="187"/>
      <c r="I176" s="187"/>
      <c r="J176" s="216"/>
      <c r="K176" s="216"/>
      <c r="L176" s="216"/>
      <c r="M176" s="216"/>
      <c r="N176" s="216"/>
      <c r="O176" s="216"/>
      <c r="P176" s="216"/>
    </row>
    <row r="177" spans="1:16" ht="12.75">
      <c r="A177" s="213"/>
      <c r="B177" s="214"/>
      <c r="C177" s="213"/>
      <c r="D177" s="215"/>
      <c r="E177" s="216"/>
      <c r="F177" s="216"/>
      <c r="G177" s="216"/>
      <c r="H177" s="187"/>
      <c r="I177" s="187"/>
      <c r="J177" s="216"/>
      <c r="K177" s="216"/>
      <c r="L177" s="216"/>
      <c r="M177" s="216"/>
      <c r="N177" s="216"/>
      <c r="O177" s="216"/>
      <c r="P177" s="216"/>
    </row>
    <row r="178" spans="1:16" ht="12.75">
      <c r="A178" s="213"/>
      <c r="B178" s="214"/>
      <c r="C178" s="213"/>
      <c r="D178" s="215"/>
      <c r="E178" s="216"/>
      <c r="F178" s="216"/>
      <c r="G178" s="216"/>
      <c r="H178" s="187"/>
      <c r="I178" s="187"/>
      <c r="J178" s="216"/>
      <c r="K178" s="216"/>
      <c r="L178" s="216"/>
      <c r="M178" s="216"/>
      <c r="N178" s="216"/>
      <c r="O178" s="216"/>
      <c r="P178" s="216"/>
    </row>
    <row r="179" spans="1:16" ht="12.75">
      <c r="A179" s="213"/>
      <c r="B179" s="214"/>
      <c r="C179" s="213"/>
      <c r="D179" s="215"/>
      <c r="E179" s="216"/>
      <c r="F179" s="216"/>
      <c r="G179" s="216"/>
      <c r="H179" s="187"/>
      <c r="I179" s="187"/>
      <c r="J179" s="216"/>
      <c r="K179" s="216"/>
      <c r="L179" s="216"/>
      <c r="M179" s="216"/>
      <c r="N179" s="216"/>
      <c r="O179" s="216"/>
      <c r="P179" s="216"/>
    </row>
    <row r="180" spans="1:16" ht="12.75">
      <c r="A180" s="213"/>
      <c r="B180" s="214"/>
      <c r="C180" s="213"/>
      <c r="D180" s="215"/>
      <c r="E180" s="216"/>
      <c r="F180" s="216"/>
      <c r="G180" s="216"/>
      <c r="H180" s="187"/>
      <c r="I180" s="187"/>
      <c r="J180" s="216"/>
      <c r="K180" s="216"/>
      <c r="L180" s="216"/>
      <c r="M180" s="216"/>
      <c r="N180" s="216"/>
      <c r="O180" s="216"/>
      <c r="P180" s="216"/>
    </row>
  </sheetData>
  <sheetProtection selectLockedCells="1" selectUnlockedCells="1"/>
  <mergeCells count="20">
    <mergeCell ref="A7:B7"/>
    <mergeCell ref="C50:G50"/>
    <mergeCell ref="K50:P50"/>
    <mergeCell ref="I52:J52"/>
    <mergeCell ref="F10:K10"/>
    <mergeCell ref="L10:P10"/>
    <mergeCell ref="C44:K44"/>
    <mergeCell ref="C45:K45"/>
    <mergeCell ref="D10:D11"/>
    <mergeCell ref="E10:E11"/>
    <mergeCell ref="A49:B49"/>
    <mergeCell ref="I49:J49"/>
    <mergeCell ref="A1:P1"/>
    <mergeCell ref="A2:P2"/>
    <mergeCell ref="M8:N8"/>
    <mergeCell ref="O8:P8"/>
    <mergeCell ref="G9:H9"/>
    <mergeCell ref="A10:A11"/>
    <mergeCell ref="B10:B11"/>
    <mergeCell ref="C10:C11"/>
  </mergeCells>
  <printOptions horizontalCentered="1"/>
  <pageMargins left="0" right="0" top="0.7875" bottom="0.38958333333333334" header="0.5118055555555555" footer="0.19652777777777777"/>
  <pageSetup firstPageNumber="1" useFirstPageNumber="1" horizontalDpi="300" verticalDpi="300" orientation="landscape" paperSize="9" scale="61" r:id="rId1"/>
  <headerFooter alignWithMargins="0">
    <oddFooter>&amp;R&amp;P</oddFooter>
  </headerFooter>
  <rowBreaks count="1" manualBreakCount="1">
    <brk id="2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180"/>
  <sheetViews>
    <sheetView showZeros="0" view="pageBreakPreview" zoomScale="70" zoomScaleNormal="55" zoomScaleSheetLayoutView="70" zoomScalePageLayoutView="0" workbookViewId="0" topLeftCell="A1">
      <selection activeCell="A7" sqref="A7:IV7"/>
    </sheetView>
  </sheetViews>
  <sheetFormatPr defaultColWidth="37" defaultRowHeight="15.75"/>
  <cols>
    <col min="1" max="1" width="4.796875" style="225" customWidth="1"/>
    <col min="2" max="2" width="12.09765625" style="226" customWidth="1"/>
    <col min="3" max="3" width="29.59765625" style="187" customWidth="1"/>
    <col min="4" max="4" width="6.19921875" style="227" customWidth="1"/>
    <col min="5" max="5" width="10.69921875" style="225" customWidth="1"/>
    <col min="6" max="6" width="7.296875" style="187" customWidth="1"/>
    <col min="7" max="7" width="7.69921875" style="187" customWidth="1"/>
    <col min="8" max="8" width="10.296875" style="228" customWidth="1"/>
    <col min="9" max="9" width="11.3984375" style="228" customWidth="1"/>
    <col min="10" max="10" width="8.69921875" style="187" customWidth="1"/>
    <col min="11" max="11" width="11.3984375" style="187" customWidth="1"/>
    <col min="12" max="12" width="11.296875" style="187" customWidth="1"/>
    <col min="13" max="13" width="11.59765625" style="187" customWidth="1"/>
    <col min="14" max="14" width="12" style="187" customWidth="1"/>
    <col min="15" max="15" width="11.3984375" style="187" customWidth="1"/>
    <col min="16" max="16" width="9.19921875" style="187" customWidth="1"/>
    <col min="17" max="33" width="11.296875" style="187" customWidth="1"/>
    <col min="34" max="16384" width="37" style="187" customWidth="1"/>
  </cols>
  <sheetData>
    <row r="1" spans="1:16" ht="18">
      <c r="A1" s="425" t="s">
        <v>779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</row>
    <row r="2" spans="1:16" ht="18">
      <c r="A2" s="426" t="s">
        <v>780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</row>
    <row r="3" spans="1:16" ht="15">
      <c r="A3" s="53" t="str">
        <f>'1-3 (1)'!A3</f>
        <v>Būves nosaukums:     Tautas nama "Kalngravas" rekonstrukcija- 2. kārta </v>
      </c>
      <c r="B3" s="53"/>
      <c r="C3" s="189"/>
      <c r="D3" s="190"/>
      <c r="E3" s="190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6" ht="15">
      <c r="A4" s="53" t="str">
        <f>'1-3 (1)'!A4</f>
        <v>Objekta nosaukums:  Tautas nama "Kalngravas" rekonstrukcija</v>
      </c>
      <c r="B4" s="53"/>
      <c r="C4" s="189"/>
      <c r="D4" s="190"/>
      <c r="E4" s="190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</row>
    <row r="5" spans="1:16" ht="15">
      <c r="A5" s="53" t="str">
        <f>'1-3 (1)'!A5</f>
        <v>Būves adrese:  Kalngravas 1, Sarkaņu pagasts, Madonas novads</v>
      </c>
      <c r="B5" s="53"/>
      <c r="C5" s="189"/>
      <c r="D5" s="190"/>
      <c r="E5" s="190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</row>
    <row r="6" spans="1:16" ht="15">
      <c r="A6" s="53" t="str">
        <f>'1-3 (1)'!A6</f>
        <v>Pasūtījuma Nr.: </v>
      </c>
      <c r="B6" s="53"/>
      <c r="C6" s="192" t="s">
        <v>845</v>
      </c>
      <c r="D6" s="190"/>
      <c r="E6" s="190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</row>
    <row r="7" spans="1:8" s="4" customFormat="1" ht="25.5" customHeight="1">
      <c r="A7" s="391" t="s">
        <v>852</v>
      </c>
      <c r="B7" s="391"/>
      <c r="C7" s="386"/>
      <c r="D7" s="386"/>
      <c r="E7" s="386"/>
      <c r="F7" s="386"/>
      <c r="G7" s="386"/>
      <c r="H7" s="386"/>
    </row>
    <row r="8" spans="1:16" ht="15.75">
      <c r="A8" s="53" t="s">
        <v>854</v>
      </c>
      <c r="B8" s="59"/>
      <c r="C8" s="189"/>
      <c r="D8" s="190"/>
      <c r="E8" s="190"/>
      <c r="F8" s="191"/>
      <c r="G8" s="191"/>
      <c r="H8" s="191"/>
      <c r="I8" s="191"/>
      <c r="J8" s="191"/>
      <c r="K8" s="191"/>
      <c r="L8" s="191"/>
      <c r="M8" s="427" t="s">
        <v>47</v>
      </c>
      <c r="N8" s="427"/>
      <c r="O8" s="428">
        <f>P45</f>
        <v>0</v>
      </c>
      <c r="P8" s="428"/>
    </row>
    <row r="9" spans="1:16" ht="12.75">
      <c r="A9" s="193"/>
      <c r="B9" s="193"/>
      <c r="C9" s="194"/>
      <c r="D9" s="195"/>
      <c r="E9" s="196"/>
      <c r="F9" s="197"/>
      <c r="G9" s="460"/>
      <c r="H9" s="460"/>
      <c r="I9" s="197"/>
      <c r="J9" s="197"/>
      <c r="K9" s="196"/>
      <c r="L9" s="280"/>
      <c r="M9" s="196"/>
      <c r="N9" s="197"/>
      <c r="O9" s="197"/>
      <c r="P9" s="197"/>
    </row>
    <row r="10" spans="1:16" ht="15">
      <c r="A10" s="429" t="s">
        <v>4</v>
      </c>
      <c r="B10" s="429" t="s">
        <v>48</v>
      </c>
      <c r="C10" s="430" t="s">
        <v>49</v>
      </c>
      <c r="D10" s="429" t="s">
        <v>50</v>
      </c>
      <c r="E10" s="429" t="s">
        <v>51</v>
      </c>
      <c r="F10" s="431" t="s">
        <v>52</v>
      </c>
      <c r="G10" s="431"/>
      <c r="H10" s="431"/>
      <c r="I10" s="431"/>
      <c r="J10" s="431"/>
      <c r="K10" s="431"/>
      <c r="L10" s="431" t="s">
        <v>53</v>
      </c>
      <c r="M10" s="431"/>
      <c r="N10" s="431"/>
      <c r="O10" s="431"/>
      <c r="P10" s="431"/>
    </row>
    <row r="11" spans="1:16" ht="100.5">
      <c r="A11" s="429"/>
      <c r="B11" s="429"/>
      <c r="C11" s="430"/>
      <c r="D11" s="429"/>
      <c r="E11" s="429"/>
      <c r="F11" s="26" t="s">
        <v>54</v>
      </c>
      <c r="G11" s="26" t="s">
        <v>55</v>
      </c>
      <c r="H11" s="26" t="s">
        <v>56</v>
      </c>
      <c r="I11" s="26" t="s">
        <v>57</v>
      </c>
      <c r="J11" s="26" t="s">
        <v>58</v>
      </c>
      <c r="K11" s="26" t="s">
        <v>59</v>
      </c>
      <c r="L11" s="26" t="s">
        <v>60</v>
      </c>
      <c r="M11" s="26" t="s">
        <v>56</v>
      </c>
      <c r="N11" s="26" t="s">
        <v>57</v>
      </c>
      <c r="O11" s="26" t="s">
        <v>58</v>
      </c>
      <c r="P11" s="26" t="s">
        <v>61</v>
      </c>
    </row>
    <row r="12" spans="1:16" s="207" customFormat="1" ht="34.5" customHeight="1">
      <c r="A12" s="198">
        <v>1</v>
      </c>
      <c r="B12" s="375"/>
      <c r="C12" s="356" t="s">
        <v>781</v>
      </c>
      <c r="D12" s="376"/>
      <c r="E12" s="231"/>
      <c r="F12" s="285"/>
      <c r="G12" s="285"/>
      <c r="H12" s="377"/>
      <c r="I12" s="378"/>
      <c r="J12" s="378"/>
      <c r="K12" s="378"/>
      <c r="L12" s="379"/>
      <c r="M12" s="378"/>
      <c r="N12" s="378"/>
      <c r="O12" s="378"/>
      <c r="P12" s="378"/>
    </row>
    <row r="13" spans="1:16" s="207" customFormat="1" ht="34.5" customHeight="1">
      <c r="A13" s="198">
        <v>2</v>
      </c>
      <c r="B13" s="200" t="s">
        <v>782</v>
      </c>
      <c r="C13" s="233" t="s">
        <v>783</v>
      </c>
      <c r="D13" s="202" t="s">
        <v>369</v>
      </c>
      <c r="E13" s="203">
        <v>70</v>
      </c>
      <c r="F13" s="204"/>
      <c r="G13" s="205"/>
      <c r="H13" s="205"/>
      <c r="I13" s="205"/>
      <c r="J13" s="205"/>
      <c r="K13" s="205"/>
      <c r="L13" s="205"/>
      <c r="M13" s="205"/>
      <c r="N13" s="205"/>
      <c r="O13" s="205"/>
      <c r="P13" s="205"/>
    </row>
    <row r="14" spans="1:16" s="207" customFormat="1" ht="34.5" customHeight="1">
      <c r="A14" s="198">
        <v>3</v>
      </c>
      <c r="B14" s="200" t="s">
        <v>784</v>
      </c>
      <c r="C14" s="233" t="s">
        <v>785</v>
      </c>
      <c r="D14" s="202" t="s">
        <v>65</v>
      </c>
      <c r="E14" s="203">
        <f>E13*0.6</f>
        <v>42</v>
      </c>
      <c r="F14" s="204"/>
      <c r="G14" s="205"/>
      <c r="H14" s="205"/>
      <c r="I14" s="205"/>
      <c r="J14" s="205"/>
      <c r="K14" s="205"/>
      <c r="L14" s="205"/>
      <c r="M14" s="205"/>
      <c r="N14" s="205"/>
      <c r="O14" s="205"/>
      <c r="P14" s="205"/>
    </row>
    <row r="15" spans="1:16" s="207" customFormat="1" ht="34.5" customHeight="1">
      <c r="A15" s="198">
        <v>4</v>
      </c>
      <c r="B15" s="200" t="s">
        <v>786</v>
      </c>
      <c r="C15" s="233" t="s">
        <v>787</v>
      </c>
      <c r="D15" s="202" t="s">
        <v>369</v>
      </c>
      <c r="E15" s="203">
        <v>267</v>
      </c>
      <c r="F15" s="204"/>
      <c r="G15" s="205"/>
      <c r="H15" s="205"/>
      <c r="I15" s="205"/>
      <c r="J15" s="205"/>
      <c r="K15" s="205"/>
      <c r="L15" s="205"/>
      <c r="M15" s="205"/>
      <c r="N15" s="205"/>
      <c r="O15" s="205"/>
      <c r="P15" s="205"/>
    </row>
    <row r="16" spans="1:16" s="207" customFormat="1" ht="34.5" customHeight="1">
      <c r="A16" s="198">
        <v>5</v>
      </c>
      <c r="B16" s="200" t="s">
        <v>788</v>
      </c>
      <c r="C16" s="233" t="s">
        <v>789</v>
      </c>
      <c r="D16" s="202" t="s">
        <v>369</v>
      </c>
      <c r="E16" s="203">
        <v>267</v>
      </c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</row>
    <row r="17" spans="1:16" s="207" customFormat="1" ht="34.5" customHeight="1">
      <c r="A17" s="198">
        <v>6</v>
      </c>
      <c r="B17" s="200" t="s">
        <v>790</v>
      </c>
      <c r="C17" s="233" t="s">
        <v>791</v>
      </c>
      <c r="D17" s="202" t="s">
        <v>369</v>
      </c>
      <c r="E17" s="203">
        <v>267</v>
      </c>
      <c r="F17" s="204"/>
      <c r="G17" s="205"/>
      <c r="H17" s="205"/>
      <c r="I17" s="205"/>
      <c r="J17" s="205"/>
      <c r="K17" s="205"/>
      <c r="L17" s="205"/>
      <c r="M17" s="205"/>
      <c r="N17" s="205"/>
      <c r="O17" s="205"/>
      <c r="P17" s="205"/>
    </row>
    <row r="18" spans="1:16" s="207" customFormat="1" ht="34.5" customHeight="1">
      <c r="A18" s="198">
        <v>7</v>
      </c>
      <c r="B18" s="200" t="s">
        <v>792</v>
      </c>
      <c r="C18" s="233" t="s">
        <v>793</v>
      </c>
      <c r="D18" s="202" t="s">
        <v>369</v>
      </c>
      <c r="E18" s="203">
        <v>267</v>
      </c>
      <c r="F18" s="204"/>
      <c r="G18" s="205"/>
      <c r="H18" s="205"/>
      <c r="I18" s="205"/>
      <c r="J18" s="205"/>
      <c r="K18" s="205"/>
      <c r="L18" s="205"/>
      <c r="M18" s="205"/>
      <c r="N18" s="205"/>
      <c r="O18" s="205"/>
      <c r="P18" s="205"/>
    </row>
    <row r="19" spans="1:16" s="207" customFormat="1" ht="34.5" customHeight="1">
      <c r="A19" s="198">
        <v>8</v>
      </c>
      <c r="B19" s="200"/>
      <c r="C19" s="356" t="s">
        <v>794</v>
      </c>
      <c r="D19" s="202"/>
      <c r="E19" s="203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</row>
    <row r="20" spans="1:16" s="207" customFormat="1" ht="34.5" customHeight="1">
      <c r="A20" s="198">
        <v>9</v>
      </c>
      <c r="B20" s="200" t="s">
        <v>795</v>
      </c>
      <c r="C20" s="233" t="s">
        <v>796</v>
      </c>
      <c r="D20" s="202" t="s">
        <v>369</v>
      </c>
      <c r="E20" s="203">
        <v>234</v>
      </c>
      <c r="F20" s="204"/>
      <c r="G20" s="205"/>
      <c r="H20" s="205"/>
      <c r="I20" s="205"/>
      <c r="J20" s="205"/>
      <c r="K20" s="205"/>
      <c r="L20" s="205"/>
      <c r="M20" s="205"/>
      <c r="N20" s="205"/>
      <c r="O20" s="205"/>
      <c r="P20" s="205"/>
    </row>
    <row r="21" spans="1:16" s="207" customFormat="1" ht="34.5" customHeight="1">
      <c r="A21" s="198">
        <v>10</v>
      </c>
      <c r="B21" s="200" t="s">
        <v>797</v>
      </c>
      <c r="C21" s="233" t="s">
        <v>798</v>
      </c>
      <c r="D21" s="202" t="s">
        <v>65</v>
      </c>
      <c r="E21" s="203">
        <f>E20*0.2</f>
        <v>46.800000000000004</v>
      </c>
      <c r="F21" s="204"/>
      <c r="G21" s="205"/>
      <c r="H21" s="205"/>
      <c r="I21" s="205"/>
      <c r="J21" s="205"/>
      <c r="K21" s="205"/>
      <c r="L21" s="205"/>
      <c r="M21" s="205"/>
      <c r="N21" s="205"/>
      <c r="O21" s="205"/>
      <c r="P21" s="205"/>
    </row>
    <row r="22" spans="1:16" s="207" customFormat="1" ht="34.5" customHeight="1">
      <c r="A22" s="198">
        <v>11</v>
      </c>
      <c r="B22" s="200" t="s">
        <v>799</v>
      </c>
      <c r="C22" s="233" t="s">
        <v>800</v>
      </c>
      <c r="D22" s="202" t="s">
        <v>369</v>
      </c>
      <c r="E22" s="203">
        <v>234</v>
      </c>
      <c r="F22" s="204"/>
      <c r="G22" s="205"/>
      <c r="H22" s="205"/>
      <c r="I22" s="205"/>
      <c r="J22" s="205"/>
      <c r="K22" s="205"/>
      <c r="L22" s="205"/>
      <c r="M22" s="205"/>
      <c r="N22" s="205"/>
      <c r="O22" s="205"/>
      <c r="P22" s="205"/>
    </row>
    <row r="23" spans="1:16" s="207" customFormat="1" ht="34.5" customHeight="1">
      <c r="A23" s="198">
        <v>12</v>
      </c>
      <c r="B23" s="200" t="s">
        <v>801</v>
      </c>
      <c r="C23" s="233" t="s">
        <v>802</v>
      </c>
      <c r="D23" s="202" t="s">
        <v>369</v>
      </c>
      <c r="E23" s="203">
        <v>234</v>
      </c>
      <c r="F23" s="204"/>
      <c r="G23" s="205"/>
      <c r="H23" s="205"/>
      <c r="I23" s="205"/>
      <c r="J23" s="205"/>
      <c r="K23" s="205"/>
      <c r="L23" s="205"/>
      <c r="M23" s="205"/>
      <c r="N23" s="205"/>
      <c r="O23" s="205"/>
      <c r="P23" s="205"/>
    </row>
    <row r="24" spans="1:16" s="207" customFormat="1" ht="34.5" customHeight="1">
      <c r="A24" s="198">
        <v>13</v>
      </c>
      <c r="B24" s="200" t="s">
        <v>803</v>
      </c>
      <c r="C24" s="233" t="s">
        <v>804</v>
      </c>
      <c r="D24" s="202" t="s">
        <v>369</v>
      </c>
      <c r="E24" s="203">
        <v>234</v>
      </c>
      <c r="F24" s="204"/>
      <c r="G24" s="205"/>
      <c r="H24" s="205"/>
      <c r="I24" s="205"/>
      <c r="J24" s="205"/>
      <c r="K24" s="205"/>
      <c r="L24" s="205"/>
      <c r="M24" s="205"/>
      <c r="N24" s="205"/>
      <c r="O24" s="205"/>
      <c r="P24" s="205"/>
    </row>
    <row r="25" spans="1:16" s="207" customFormat="1" ht="34.5" customHeight="1">
      <c r="A25" s="198">
        <v>14</v>
      </c>
      <c r="B25" s="200" t="s">
        <v>805</v>
      </c>
      <c r="C25" s="233" t="s">
        <v>806</v>
      </c>
      <c r="D25" s="202" t="s">
        <v>369</v>
      </c>
      <c r="E25" s="203">
        <v>234</v>
      </c>
      <c r="F25" s="204"/>
      <c r="G25" s="205"/>
      <c r="H25" s="205"/>
      <c r="I25" s="205"/>
      <c r="J25" s="205"/>
      <c r="K25" s="205"/>
      <c r="L25" s="205"/>
      <c r="M25" s="205"/>
      <c r="N25" s="205"/>
      <c r="O25" s="205"/>
      <c r="P25" s="205"/>
    </row>
    <row r="26" spans="1:16" s="207" customFormat="1" ht="34.5" customHeight="1">
      <c r="A26" s="198">
        <v>15</v>
      </c>
      <c r="B26" s="200" t="s">
        <v>807</v>
      </c>
      <c r="C26" s="233" t="s">
        <v>808</v>
      </c>
      <c r="D26" s="202" t="s">
        <v>369</v>
      </c>
      <c r="E26" s="203">
        <v>234</v>
      </c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</row>
    <row r="27" spans="1:16" s="207" customFormat="1" ht="34.5" customHeight="1">
      <c r="A27" s="198">
        <v>16</v>
      </c>
      <c r="B27" s="200"/>
      <c r="C27" s="356" t="s">
        <v>809</v>
      </c>
      <c r="D27" s="202"/>
      <c r="E27" s="203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</row>
    <row r="28" spans="1:16" s="207" customFormat="1" ht="34.5" customHeight="1">
      <c r="A28" s="198">
        <v>17</v>
      </c>
      <c r="B28" s="200" t="s">
        <v>810</v>
      </c>
      <c r="C28" s="233" t="s">
        <v>811</v>
      </c>
      <c r="D28" s="202" t="s">
        <v>65</v>
      </c>
      <c r="E28" s="203">
        <f>(E30+E31+E32)*0.3*0.1</f>
        <v>5.97</v>
      </c>
      <c r="F28" s="204"/>
      <c r="G28" s="205"/>
      <c r="H28" s="205"/>
      <c r="I28" s="205"/>
      <c r="J28" s="205"/>
      <c r="K28" s="205"/>
      <c r="L28" s="205"/>
      <c r="M28" s="205"/>
      <c r="N28" s="205"/>
      <c r="O28" s="205"/>
      <c r="P28" s="205"/>
    </row>
    <row r="29" spans="1:16" s="207" customFormat="1" ht="34.5" customHeight="1">
      <c r="A29" s="198">
        <v>18</v>
      </c>
      <c r="B29" s="200" t="s">
        <v>812</v>
      </c>
      <c r="C29" s="233" t="s">
        <v>813</v>
      </c>
      <c r="D29" s="202" t="s">
        <v>65</v>
      </c>
      <c r="E29" s="203">
        <f>(E30+E31+E32)*0.15*0.1</f>
        <v>2.985</v>
      </c>
      <c r="F29" s="204"/>
      <c r="G29" s="205"/>
      <c r="H29" s="205"/>
      <c r="I29" s="205"/>
      <c r="J29" s="205"/>
      <c r="K29" s="205"/>
      <c r="L29" s="205"/>
      <c r="M29" s="205"/>
      <c r="N29" s="205"/>
      <c r="O29" s="205"/>
      <c r="P29" s="205"/>
    </row>
    <row r="30" spans="1:16" s="207" customFormat="1" ht="34.5" customHeight="1">
      <c r="A30" s="198">
        <v>19</v>
      </c>
      <c r="B30" s="200" t="s">
        <v>814</v>
      </c>
      <c r="C30" s="233" t="s">
        <v>815</v>
      </c>
      <c r="D30" s="202" t="s">
        <v>816</v>
      </c>
      <c r="E30" s="203">
        <v>140</v>
      </c>
      <c r="F30" s="204"/>
      <c r="G30" s="205"/>
      <c r="H30" s="205"/>
      <c r="I30" s="205"/>
      <c r="J30" s="205"/>
      <c r="K30" s="205"/>
      <c r="L30" s="205"/>
      <c r="M30" s="205"/>
      <c r="N30" s="205"/>
      <c r="O30" s="205"/>
      <c r="P30" s="205"/>
    </row>
    <row r="31" spans="1:16" s="207" customFormat="1" ht="34.5" customHeight="1">
      <c r="A31" s="198">
        <v>20</v>
      </c>
      <c r="B31" s="200" t="s">
        <v>817</v>
      </c>
      <c r="C31" s="233" t="s">
        <v>818</v>
      </c>
      <c r="D31" s="202" t="s">
        <v>420</v>
      </c>
      <c r="E31" s="203">
        <v>50</v>
      </c>
      <c r="F31" s="204"/>
      <c r="G31" s="205"/>
      <c r="H31" s="205"/>
      <c r="I31" s="205"/>
      <c r="J31" s="205"/>
      <c r="K31" s="205"/>
      <c r="L31" s="205"/>
      <c r="M31" s="205"/>
      <c r="N31" s="205"/>
      <c r="O31" s="205"/>
      <c r="P31" s="205"/>
    </row>
    <row r="32" spans="1:16" s="207" customFormat="1" ht="34.5" customHeight="1">
      <c r="A32" s="198">
        <v>21</v>
      </c>
      <c r="B32" s="200" t="s">
        <v>819</v>
      </c>
      <c r="C32" s="233" t="s">
        <v>820</v>
      </c>
      <c r="D32" s="202" t="s">
        <v>420</v>
      </c>
      <c r="E32" s="203">
        <v>9</v>
      </c>
      <c r="F32" s="204"/>
      <c r="G32" s="205"/>
      <c r="H32" s="205"/>
      <c r="I32" s="205"/>
      <c r="J32" s="205"/>
      <c r="K32" s="205"/>
      <c r="L32" s="205"/>
      <c r="M32" s="205"/>
      <c r="N32" s="205"/>
      <c r="O32" s="205"/>
      <c r="P32" s="205"/>
    </row>
    <row r="33" spans="1:16" s="207" customFormat="1" ht="34.5" customHeight="1">
      <c r="A33" s="198">
        <v>22</v>
      </c>
      <c r="B33" s="200"/>
      <c r="C33" s="356" t="s">
        <v>719</v>
      </c>
      <c r="D33" s="202"/>
      <c r="E33" s="203"/>
      <c r="F33" s="204"/>
      <c r="G33" s="205"/>
      <c r="H33" s="205"/>
      <c r="I33" s="205"/>
      <c r="J33" s="205"/>
      <c r="K33" s="205"/>
      <c r="L33" s="205"/>
      <c r="M33" s="205"/>
      <c r="N33" s="205"/>
      <c r="O33" s="205"/>
      <c r="P33" s="205"/>
    </row>
    <row r="34" spans="1:16" s="207" customFormat="1" ht="34.5" customHeight="1">
      <c r="A34" s="198">
        <v>23</v>
      </c>
      <c r="B34" s="200" t="s">
        <v>821</v>
      </c>
      <c r="C34" s="233" t="s">
        <v>822</v>
      </c>
      <c r="D34" s="202" t="s">
        <v>369</v>
      </c>
      <c r="E34" s="203">
        <v>180</v>
      </c>
      <c r="F34" s="204"/>
      <c r="G34" s="205"/>
      <c r="H34" s="205"/>
      <c r="I34" s="205"/>
      <c r="J34" s="205"/>
      <c r="K34" s="205"/>
      <c r="L34" s="205"/>
      <c r="M34" s="205"/>
      <c r="N34" s="205"/>
      <c r="O34" s="205"/>
      <c r="P34" s="205"/>
    </row>
    <row r="35" spans="1:16" s="207" customFormat="1" ht="34.5" customHeight="1">
      <c r="A35" s="198">
        <v>24</v>
      </c>
      <c r="B35" s="200" t="s">
        <v>823</v>
      </c>
      <c r="C35" s="233" t="s">
        <v>824</v>
      </c>
      <c r="D35" s="202" t="s">
        <v>65</v>
      </c>
      <c r="E35" s="203">
        <v>355.85</v>
      </c>
      <c r="F35" s="204"/>
      <c r="G35" s="205"/>
      <c r="H35" s="205"/>
      <c r="I35" s="205"/>
      <c r="J35" s="205"/>
      <c r="K35" s="205"/>
      <c r="L35" s="205"/>
      <c r="M35" s="205"/>
      <c r="N35" s="205"/>
      <c r="O35" s="205"/>
      <c r="P35" s="205"/>
    </row>
    <row r="36" spans="1:16" s="207" customFormat="1" ht="34.5" customHeight="1">
      <c r="A36" s="198">
        <v>25</v>
      </c>
      <c r="B36" s="200" t="s">
        <v>825</v>
      </c>
      <c r="C36" s="233" t="s">
        <v>826</v>
      </c>
      <c r="D36" s="380" t="s">
        <v>64</v>
      </c>
      <c r="E36" s="381">
        <v>4</v>
      </c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</row>
    <row r="37" spans="1:16" s="207" customFormat="1" ht="34.5" customHeight="1">
      <c r="A37" s="198">
        <v>26</v>
      </c>
      <c r="B37" s="200" t="s">
        <v>827</v>
      </c>
      <c r="C37" s="233" t="s">
        <v>828</v>
      </c>
      <c r="D37" s="380" t="s">
        <v>64</v>
      </c>
      <c r="E37" s="381">
        <v>2</v>
      </c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</row>
    <row r="38" spans="1:16" s="207" customFormat="1" ht="34.5" customHeight="1">
      <c r="A38" s="198">
        <v>27</v>
      </c>
      <c r="B38" s="200" t="s">
        <v>829</v>
      </c>
      <c r="C38" s="63" t="s">
        <v>830</v>
      </c>
      <c r="D38" s="382" t="s">
        <v>447</v>
      </c>
      <c r="E38" s="383">
        <v>180</v>
      </c>
      <c r="F38" s="66"/>
      <c r="G38" s="205"/>
      <c r="H38" s="68"/>
      <c r="I38" s="67"/>
      <c r="J38" s="67"/>
      <c r="K38" s="67"/>
      <c r="L38" s="67"/>
      <c r="M38" s="67"/>
      <c r="N38" s="67"/>
      <c r="O38" s="67"/>
      <c r="P38" s="67"/>
    </row>
    <row r="39" spans="1:16" s="207" customFormat="1" ht="34.5" customHeight="1">
      <c r="A39" s="198">
        <v>28</v>
      </c>
      <c r="B39" s="200" t="s">
        <v>831</v>
      </c>
      <c r="C39" s="233" t="s">
        <v>832</v>
      </c>
      <c r="D39" s="202" t="s">
        <v>64</v>
      </c>
      <c r="E39" s="203">
        <v>50</v>
      </c>
      <c r="F39" s="204"/>
      <c r="G39" s="205"/>
      <c r="H39" s="205"/>
      <c r="I39" s="205"/>
      <c r="J39" s="205"/>
      <c r="K39" s="205"/>
      <c r="L39" s="205"/>
      <c r="M39" s="205"/>
      <c r="N39" s="205"/>
      <c r="O39" s="205"/>
      <c r="P39" s="205"/>
    </row>
    <row r="40" spans="1:16" s="207" customFormat="1" ht="34.5" customHeight="1">
      <c r="A40" s="198">
        <v>29</v>
      </c>
      <c r="B40" s="200" t="s">
        <v>833</v>
      </c>
      <c r="C40" s="63" t="s">
        <v>834</v>
      </c>
      <c r="D40" s="64" t="s">
        <v>447</v>
      </c>
      <c r="E40" s="203">
        <v>30</v>
      </c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1:16" s="207" customFormat="1" ht="34.5" customHeight="1">
      <c r="A41" s="198">
        <v>30</v>
      </c>
      <c r="B41" s="200" t="s">
        <v>835</v>
      </c>
      <c r="C41" s="63" t="s">
        <v>836</v>
      </c>
      <c r="D41" s="64" t="s">
        <v>64</v>
      </c>
      <c r="E41" s="203">
        <v>2</v>
      </c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1:16" s="207" customFormat="1" ht="34.5" customHeight="1">
      <c r="A42" s="198">
        <v>31</v>
      </c>
      <c r="B42" s="200" t="s">
        <v>837</v>
      </c>
      <c r="C42" s="233" t="s">
        <v>838</v>
      </c>
      <c r="D42" s="202" t="s">
        <v>64</v>
      </c>
      <c r="E42" s="203">
        <v>1</v>
      </c>
      <c r="F42" s="204"/>
      <c r="G42" s="205"/>
      <c r="H42" s="205"/>
      <c r="I42" s="205"/>
      <c r="J42" s="205"/>
      <c r="K42" s="205"/>
      <c r="L42" s="205"/>
      <c r="M42" s="205"/>
      <c r="N42" s="205"/>
      <c r="O42" s="205"/>
      <c r="P42" s="205"/>
    </row>
    <row r="43" spans="1:17" s="207" customFormat="1" ht="15.75">
      <c r="A43" s="209"/>
      <c r="B43" s="209"/>
      <c r="C43" s="28" t="s">
        <v>7</v>
      </c>
      <c r="D43" s="28"/>
      <c r="E43" s="28"/>
      <c r="F43" s="28"/>
      <c r="G43" s="28"/>
      <c r="H43" s="28"/>
      <c r="I43" s="28"/>
      <c r="J43" s="28"/>
      <c r="K43" s="28"/>
      <c r="L43" s="29"/>
      <c r="M43" s="29"/>
      <c r="N43" s="29"/>
      <c r="O43" s="29"/>
      <c r="P43" s="29"/>
      <c r="Q43" s="210"/>
    </row>
    <row r="44" spans="1:16" s="207" customFormat="1" ht="15.75">
      <c r="A44" s="211"/>
      <c r="B44" s="211"/>
      <c r="C44" s="418" t="s">
        <v>849</v>
      </c>
      <c r="D44" s="418"/>
      <c r="E44" s="418"/>
      <c r="F44" s="418"/>
      <c r="G44" s="418"/>
      <c r="H44" s="418"/>
      <c r="I44" s="418"/>
      <c r="J44" s="418"/>
      <c r="K44" s="418"/>
      <c r="L44" s="30"/>
      <c r="M44" s="30"/>
      <c r="N44" s="30"/>
      <c r="O44" s="30"/>
      <c r="P44" s="31"/>
    </row>
    <row r="45" spans="1:17" s="207" customFormat="1" ht="15.75">
      <c r="A45" s="211"/>
      <c r="B45" s="211"/>
      <c r="C45" s="433" t="s">
        <v>71</v>
      </c>
      <c r="D45" s="433"/>
      <c r="E45" s="433"/>
      <c r="F45" s="433"/>
      <c r="G45" s="433"/>
      <c r="H45" s="433"/>
      <c r="I45" s="433"/>
      <c r="J45" s="433"/>
      <c r="K45" s="433"/>
      <c r="L45" s="30"/>
      <c r="M45" s="30"/>
      <c r="N45" s="30"/>
      <c r="O45" s="30"/>
      <c r="P45" s="31"/>
      <c r="Q45" s="212"/>
    </row>
    <row r="46" spans="1:16" ht="12.75">
      <c r="A46" s="213"/>
      <c r="B46" s="214"/>
      <c r="C46" s="213"/>
      <c r="D46" s="215"/>
      <c r="E46" s="216"/>
      <c r="F46" s="216"/>
      <c r="G46" s="216"/>
      <c r="H46" s="187"/>
      <c r="I46" s="187"/>
      <c r="J46" s="216"/>
      <c r="K46" s="216"/>
      <c r="L46" s="216"/>
      <c r="M46" s="216"/>
      <c r="N46" s="216"/>
      <c r="O46" s="216"/>
      <c r="P46" s="216"/>
    </row>
    <row r="47" spans="1:16" ht="12.75">
      <c r="A47" s="213"/>
      <c r="B47" s="214"/>
      <c r="C47" s="213"/>
      <c r="D47" s="215"/>
      <c r="E47" s="216"/>
      <c r="F47" s="216"/>
      <c r="G47" s="216"/>
      <c r="H47" s="187"/>
      <c r="I47" s="187"/>
      <c r="J47" s="216"/>
      <c r="K47" s="216"/>
      <c r="L47" s="216"/>
      <c r="M47" s="216"/>
      <c r="N47" s="216"/>
      <c r="O47" s="216"/>
      <c r="P47" s="216"/>
    </row>
    <row r="48" spans="1:16" ht="12.75">
      <c r="A48" s="213"/>
      <c r="B48" s="214"/>
      <c r="C48" s="213"/>
      <c r="D48" s="215"/>
      <c r="E48" s="216"/>
      <c r="F48" s="216"/>
      <c r="G48" s="216"/>
      <c r="H48" s="187"/>
      <c r="I48" s="187"/>
      <c r="J48" s="216"/>
      <c r="K48" s="216"/>
      <c r="L48" s="216"/>
      <c r="M48" s="216"/>
      <c r="N48" s="216"/>
      <c r="O48" s="216"/>
      <c r="P48" s="216"/>
    </row>
    <row r="49" spans="1:16" s="207" customFormat="1" ht="15">
      <c r="A49" s="432" t="s">
        <v>9</v>
      </c>
      <c r="B49" s="432"/>
      <c r="C49" s="218"/>
      <c r="E49" s="219">
        <f>'1-1 (1)'!E21</f>
        <v>0</v>
      </c>
      <c r="F49" s="220"/>
      <c r="G49" s="220"/>
      <c r="H49" s="221"/>
      <c r="I49" s="434" t="s">
        <v>72</v>
      </c>
      <c r="J49" s="434"/>
      <c r="K49" s="220"/>
      <c r="L49" s="220"/>
      <c r="M49" s="220"/>
      <c r="N49" s="219">
        <f>'1-1 (1)'!N21</f>
        <v>0</v>
      </c>
      <c r="O49" s="220"/>
      <c r="P49" s="220"/>
    </row>
    <row r="50" spans="1:16" s="207" customFormat="1" ht="15">
      <c r="A50" s="217"/>
      <c r="B50" s="217"/>
      <c r="C50" s="435" t="s">
        <v>10</v>
      </c>
      <c r="D50" s="435"/>
      <c r="E50" s="435"/>
      <c r="F50" s="435"/>
      <c r="G50" s="435"/>
      <c r="I50" s="190"/>
      <c r="J50" s="190"/>
      <c r="K50" s="436" t="s">
        <v>10</v>
      </c>
      <c r="L50" s="436"/>
      <c r="M50" s="436"/>
      <c r="N50" s="436"/>
      <c r="O50" s="436"/>
      <c r="P50" s="436"/>
    </row>
    <row r="51" spans="1:16" s="207" customFormat="1" ht="15">
      <c r="A51" s="217"/>
      <c r="B51" s="217"/>
      <c r="C51" s="217"/>
      <c r="D51" s="222"/>
      <c r="E51" s="223"/>
      <c r="F51" s="223"/>
      <c r="G51" s="223"/>
      <c r="J51" s="223"/>
      <c r="K51" s="223"/>
      <c r="L51" s="223"/>
      <c r="M51" s="223"/>
      <c r="N51" s="223"/>
      <c r="O51" s="223"/>
      <c r="P51" s="223"/>
    </row>
    <row r="52" spans="1:16" s="207" customFormat="1" ht="15.75">
      <c r="A52" s="87"/>
      <c r="B52" s="217"/>
      <c r="C52" s="87"/>
      <c r="D52" s="224"/>
      <c r="E52" s="223"/>
      <c r="F52" s="223"/>
      <c r="G52" s="223"/>
      <c r="I52" s="432" t="s">
        <v>11</v>
      </c>
      <c r="J52" s="432"/>
      <c r="K52" s="218">
        <f>'1-1 (1)'!K24</f>
        <v>0</v>
      </c>
      <c r="L52" s="223"/>
      <c r="M52" s="223"/>
      <c r="N52" s="223"/>
      <c r="O52" s="223"/>
      <c r="P52" s="223"/>
    </row>
    <row r="53" spans="1:16" ht="12.75">
      <c r="A53" s="213"/>
      <c r="B53" s="214"/>
      <c r="C53" s="213"/>
      <c r="D53" s="215"/>
      <c r="E53" s="216"/>
      <c r="F53" s="216"/>
      <c r="G53" s="216"/>
      <c r="H53" s="187"/>
      <c r="I53" s="187"/>
      <c r="J53" s="216"/>
      <c r="K53" s="216"/>
      <c r="L53" s="216"/>
      <c r="M53" s="216"/>
      <c r="N53" s="216"/>
      <c r="O53" s="216"/>
      <c r="P53" s="216"/>
    </row>
    <row r="54" spans="1:16" ht="12.75">
      <c r="A54" s="213"/>
      <c r="B54" s="214"/>
      <c r="C54" s="213"/>
      <c r="D54" s="215"/>
      <c r="E54" s="216"/>
      <c r="F54" s="216"/>
      <c r="G54" s="216"/>
      <c r="H54" s="187"/>
      <c r="I54" s="187"/>
      <c r="J54" s="216"/>
      <c r="K54" s="216"/>
      <c r="L54" s="216"/>
      <c r="M54" s="216"/>
      <c r="N54" s="216"/>
      <c r="O54" s="216"/>
      <c r="P54" s="216"/>
    </row>
    <row r="55" spans="1:16" ht="12.75">
      <c r="A55" s="213"/>
      <c r="B55" s="214"/>
      <c r="C55" s="213"/>
      <c r="D55" s="215"/>
      <c r="E55" s="216"/>
      <c r="F55" s="216"/>
      <c r="G55" s="216"/>
      <c r="H55" s="187"/>
      <c r="I55" s="187"/>
      <c r="J55" s="216"/>
      <c r="K55" s="216"/>
      <c r="L55" s="216"/>
      <c r="M55" s="216"/>
      <c r="N55" s="216"/>
      <c r="O55" s="216"/>
      <c r="P55" s="216"/>
    </row>
    <row r="56" spans="1:16" ht="12.75">
      <c r="A56" s="213"/>
      <c r="B56" s="214"/>
      <c r="C56" s="213"/>
      <c r="D56" s="215"/>
      <c r="E56" s="216"/>
      <c r="F56" s="216"/>
      <c r="G56" s="216"/>
      <c r="H56" s="187"/>
      <c r="I56" s="187"/>
      <c r="J56" s="216"/>
      <c r="K56" s="216"/>
      <c r="L56" s="216"/>
      <c r="M56" s="216"/>
      <c r="N56" s="216"/>
      <c r="O56" s="216"/>
      <c r="P56" s="216"/>
    </row>
    <row r="57" spans="1:16" ht="12.75">
      <c r="A57" s="213"/>
      <c r="B57" s="214"/>
      <c r="C57" s="213"/>
      <c r="D57" s="215"/>
      <c r="E57" s="216"/>
      <c r="F57" s="216"/>
      <c r="G57" s="216"/>
      <c r="H57" s="187"/>
      <c r="I57" s="187"/>
      <c r="J57" s="216"/>
      <c r="K57" s="216"/>
      <c r="L57" s="216"/>
      <c r="M57" s="216"/>
      <c r="N57" s="216"/>
      <c r="O57" s="216"/>
      <c r="P57" s="216"/>
    </row>
    <row r="58" spans="1:16" ht="12.75">
      <c r="A58" s="213"/>
      <c r="B58" s="214"/>
      <c r="C58" s="213"/>
      <c r="D58" s="215"/>
      <c r="E58" s="216"/>
      <c r="F58" s="216"/>
      <c r="G58" s="216"/>
      <c r="H58" s="187"/>
      <c r="I58" s="187"/>
      <c r="J58" s="216"/>
      <c r="K58" s="216"/>
      <c r="L58" s="216"/>
      <c r="M58" s="216"/>
      <c r="N58" s="216"/>
      <c r="O58" s="216"/>
      <c r="P58" s="216"/>
    </row>
    <row r="59" spans="1:16" ht="12.75">
      <c r="A59" s="213"/>
      <c r="B59" s="214"/>
      <c r="C59" s="213"/>
      <c r="D59" s="215"/>
      <c r="E59" s="216"/>
      <c r="F59" s="216"/>
      <c r="G59" s="216"/>
      <c r="H59" s="187"/>
      <c r="I59" s="187"/>
      <c r="J59" s="216"/>
      <c r="K59" s="216"/>
      <c r="L59" s="216"/>
      <c r="M59" s="216"/>
      <c r="N59" s="216"/>
      <c r="O59" s="216"/>
      <c r="P59" s="216"/>
    </row>
    <row r="60" spans="1:16" ht="12.75">
      <c r="A60" s="213"/>
      <c r="B60" s="214"/>
      <c r="C60" s="213"/>
      <c r="D60" s="215"/>
      <c r="E60" s="216"/>
      <c r="F60" s="216"/>
      <c r="G60" s="216"/>
      <c r="H60" s="187"/>
      <c r="I60" s="187"/>
      <c r="J60" s="216"/>
      <c r="K60" s="216"/>
      <c r="L60" s="216"/>
      <c r="M60" s="216"/>
      <c r="N60" s="216"/>
      <c r="O60" s="216"/>
      <c r="P60" s="216"/>
    </row>
    <row r="61" spans="1:16" ht="12.75">
      <c r="A61" s="213"/>
      <c r="B61" s="214"/>
      <c r="C61" s="213"/>
      <c r="D61" s="215"/>
      <c r="E61" s="216"/>
      <c r="F61" s="216"/>
      <c r="G61" s="216"/>
      <c r="H61" s="187"/>
      <c r="I61" s="187"/>
      <c r="J61" s="216"/>
      <c r="K61" s="216"/>
      <c r="L61" s="216"/>
      <c r="M61" s="216"/>
      <c r="N61" s="216"/>
      <c r="O61" s="216"/>
      <c r="P61" s="216"/>
    </row>
    <row r="62" spans="1:16" ht="12.75">
      <c r="A62" s="213"/>
      <c r="B62" s="214"/>
      <c r="C62" s="213"/>
      <c r="D62" s="215"/>
      <c r="E62" s="216"/>
      <c r="F62" s="216"/>
      <c r="G62" s="216"/>
      <c r="H62" s="187"/>
      <c r="I62" s="187"/>
      <c r="J62" s="216"/>
      <c r="K62" s="216"/>
      <c r="L62" s="216"/>
      <c r="M62" s="216"/>
      <c r="N62" s="216"/>
      <c r="O62" s="216"/>
      <c r="P62" s="216"/>
    </row>
    <row r="63" spans="1:16" ht="12.75">
      <c r="A63" s="213"/>
      <c r="B63" s="214"/>
      <c r="C63" s="213"/>
      <c r="D63" s="215"/>
      <c r="E63" s="216"/>
      <c r="F63" s="216"/>
      <c r="G63" s="216"/>
      <c r="H63" s="187"/>
      <c r="I63" s="187"/>
      <c r="J63" s="216"/>
      <c r="K63" s="216"/>
      <c r="L63" s="216"/>
      <c r="M63" s="216"/>
      <c r="N63" s="216"/>
      <c r="O63" s="216"/>
      <c r="P63" s="216"/>
    </row>
    <row r="64" spans="1:16" ht="12.75">
      <c r="A64" s="213"/>
      <c r="B64" s="214"/>
      <c r="C64" s="213"/>
      <c r="D64" s="215"/>
      <c r="E64" s="216"/>
      <c r="F64" s="216"/>
      <c r="G64" s="216"/>
      <c r="H64" s="187"/>
      <c r="I64" s="187"/>
      <c r="J64" s="216"/>
      <c r="K64" s="216"/>
      <c r="L64" s="216"/>
      <c r="M64" s="216"/>
      <c r="N64" s="216"/>
      <c r="O64" s="216"/>
      <c r="P64" s="216"/>
    </row>
    <row r="65" spans="1:16" ht="12.75">
      <c r="A65" s="213"/>
      <c r="B65" s="214"/>
      <c r="C65" s="213"/>
      <c r="D65" s="215"/>
      <c r="E65" s="216"/>
      <c r="F65" s="216"/>
      <c r="G65" s="216"/>
      <c r="H65" s="187"/>
      <c r="I65" s="187"/>
      <c r="J65" s="216"/>
      <c r="K65" s="216"/>
      <c r="L65" s="216"/>
      <c r="M65" s="216"/>
      <c r="N65" s="216"/>
      <c r="O65" s="216"/>
      <c r="P65" s="216"/>
    </row>
    <row r="66" spans="1:16" ht="12.75">
      <c r="A66" s="213"/>
      <c r="B66" s="214"/>
      <c r="C66" s="213"/>
      <c r="D66" s="215"/>
      <c r="E66" s="216"/>
      <c r="F66" s="216"/>
      <c r="G66" s="216"/>
      <c r="H66" s="187"/>
      <c r="I66" s="187"/>
      <c r="J66" s="216"/>
      <c r="K66" s="216"/>
      <c r="L66" s="216"/>
      <c r="M66" s="216"/>
      <c r="N66" s="216"/>
      <c r="O66" s="216"/>
      <c r="P66" s="216"/>
    </row>
    <row r="67" spans="1:16" ht="12.75">
      <c r="A67" s="213"/>
      <c r="B67" s="214"/>
      <c r="C67" s="213"/>
      <c r="D67" s="215"/>
      <c r="E67" s="216"/>
      <c r="F67" s="216"/>
      <c r="G67" s="216"/>
      <c r="H67" s="187"/>
      <c r="I67" s="187"/>
      <c r="J67" s="216"/>
      <c r="K67" s="216"/>
      <c r="L67" s="216"/>
      <c r="M67" s="216"/>
      <c r="N67" s="216"/>
      <c r="O67" s="216"/>
      <c r="P67" s="216"/>
    </row>
    <row r="68" spans="1:16" ht="12.75">
      <c r="A68" s="213"/>
      <c r="B68" s="214"/>
      <c r="C68" s="213"/>
      <c r="D68" s="215"/>
      <c r="E68" s="216"/>
      <c r="F68" s="216"/>
      <c r="G68" s="216"/>
      <c r="H68" s="187"/>
      <c r="I68" s="187"/>
      <c r="J68" s="216"/>
      <c r="K68" s="216"/>
      <c r="L68" s="216"/>
      <c r="M68" s="216"/>
      <c r="N68" s="216"/>
      <c r="O68" s="216"/>
      <c r="P68" s="216"/>
    </row>
    <row r="69" spans="1:16" ht="12.75">
      <c r="A69" s="213"/>
      <c r="B69" s="214"/>
      <c r="C69" s="213"/>
      <c r="D69" s="215"/>
      <c r="E69" s="216"/>
      <c r="F69" s="216"/>
      <c r="G69" s="216"/>
      <c r="H69" s="187"/>
      <c r="I69" s="187"/>
      <c r="J69" s="216"/>
      <c r="K69" s="216"/>
      <c r="L69" s="216"/>
      <c r="M69" s="216"/>
      <c r="N69" s="216"/>
      <c r="O69" s="216"/>
      <c r="P69" s="216"/>
    </row>
    <row r="70" spans="1:16" ht="12.75">
      <c r="A70" s="213"/>
      <c r="B70" s="214"/>
      <c r="C70" s="213"/>
      <c r="D70" s="215"/>
      <c r="E70" s="216"/>
      <c r="F70" s="216"/>
      <c r="G70" s="216"/>
      <c r="H70" s="187"/>
      <c r="I70" s="187"/>
      <c r="J70" s="216"/>
      <c r="K70" s="216"/>
      <c r="L70" s="216"/>
      <c r="M70" s="216"/>
      <c r="N70" s="216"/>
      <c r="O70" s="216"/>
      <c r="P70" s="216"/>
    </row>
    <row r="71" spans="1:16" ht="12.75">
      <c r="A71" s="213"/>
      <c r="B71" s="214"/>
      <c r="C71" s="213"/>
      <c r="D71" s="215"/>
      <c r="E71" s="216"/>
      <c r="F71" s="216"/>
      <c r="G71" s="216"/>
      <c r="H71" s="187"/>
      <c r="I71" s="187"/>
      <c r="J71" s="216"/>
      <c r="K71" s="216"/>
      <c r="L71" s="216"/>
      <c r="M71" s="216"/>
      <c r="N71" s="216"/>
      <c r="O71" s="216"/>
      <c r="P71" s="216"/>
    </row>
    <row r="72" spans="1:16" ht="12.75">
      <c r="A72" s="213"/>
      <c r="B72" s="214"/>
      <c r="C72" s="213"/>
      <c r="D72" s="215"/>
      <c r="E72" s="216"/>
      <c r="F72" s="216"/>
      <c r="G72" s="216"/>
      <c r="H72" s="187"/>
      <c r="I72" s="187"/>
      <c r="J72" s="216"/>
      <c r="K72" s="216"/>
      <c r="L72" s="216"/>
      <c r="M72" s="216"/>
      <c r="N72" s="216"/>
      <c r="O72" s="216"/>
      <c r="P72" s="216"/>
    </row>
    <row r="73" spans="1:16" ht="12.75">
      <c r="A73" s="213"/>
      <c r="B73" s="214"/>
      <c r="C73" s="213"/>
      <c r="D73" s="215"/>
      <c r="E73" s="216"/>
      <c r="F73" s="216"/>
      <c r="G73" s="216"/>
      <c r="H73" s="187"/>
      <c r="I73" s="187"/>
      <c r="J73" s="216"/>
      <c r="K73" s="216"/>
      <c r="L73" s="216"/>
      <c r="M73" s="216"/>
      <c r="N73" s="216"/>
      <c r="O73" s="216"/>
      <c r="P73" s="216"/>
    </row>
    <row r="74" spans="1:16" ht="12.75">
      <c r="A74" s="213"/>
      <c r="B74" s="214"/>
      <c r="C74" s="213"/>
      <c r="D74" s="215"/>
      <c r="E74" s="216"/>
      <c r="F74" s="216"/>
      <c r="G74" s="216"/>
      <c r="H74" s="187"/>
      <c r="I74" s="187"/>
      <c r="J74" s="216"/>
      <c r="K74" s="216"/>
      <c r="L74" s="216"/>
      <c r="M74" s="216"/>
      <c r="N74" s="216"/>
      <c r="O74" s="216"/>
      <c r="P74" s="216"/>
    </row>
    <row r="75" spans="1:16" ht="12.75">
      <c r="A75" s="213"/>
      <c r="B75" s="214"/>
      <c r="C75" s="213"/>
      <c r="D75" s="215"/>
      <c r="E75" s="216"/>
      <c r="F75" s="216"/>
      <c r="G75" s="216"/>
      <c r="H75" s="187"/>
      <c r="I75" s="187"/>
      <c r="J75" s="216"/>
      <c r="K75" s="216"/>
      <c r="L75" s="216"/>
      <c r="M75" s="216"/>
      <c r="N75" s="216"/>
      <c r="O75" s="216"/>
      <c r="P75" s="216"/>
    </row>
    <row r="76" spans="1:16" ht="12.75">
      <c r="A76" s="213"/>
      <c r="B76" s="214"/>
      <c r="C76" s="213"/>
      <c r="D76" s="215"/>
      <c r="E76" s="216"/>
      <c r="F76" s="216"/>
      <c r="G76" s="216"/>
      <c r="H76" s="187"/>
      <c r="I76" s="187"/>
      <c r="J76" s="216"/>
      <c r="K76" s="216"/>
      <c r="L76" s="216"/>
      <c r="M76" s="216"/>
      <c r="N76" s="216"/>
      <c r="O76" s="216"/>
      <c r="P76" s="216"/>
    </row>
    <row r="77" spans="1:16" ht="12.75">
      <c r="A77" s="213"/>
      <c r="B77" s="214"/>
      <c r="C77" s="213"/>
      <c r="D77" s="215"/>
      <c r="E77" s="216"/>
      <c r="F77" s="216"/>
      <c r="G77" s="216"/>
      <c r="H77" s="187"/>
      <c r="I77" s="187"/>
      <c r="J77" s="216"/>
      <c r="K77" s="216"/>
      <c r="L77" s="216"/>
      <c r="M77" s="216"/>
      <c r="N77" s="216"/>
      <c r="O77" s="216"/>
      <c r="P77" s="216"/>
    </row>
    <row r="78" spans="1:16" ht="12.75">
      <c r="A78" s="213"/>
      <c r="B78" s="214"/>
      <c r="C78" s="213"/>
      <c r="D78" s="215"/>
      <c r="E78" s="216"/>
      <c r="F78" s="216"/>
      <c r="G78" s="216"/>
      <c r="H78" s="187"/>
      <c r="I78" s="187"/>
      <c r="J78" s="216"/>
      <c r="K78" s="216"/>
      <c r="L78" s="216"/>
      <c r="M78" s="216"/>
      <c r="N78" s="216"/>
      <c r="O78" s="216"/>
      <c r="P78" s="216"/>
    </row>
    <row r="79" spans="1:16" ht="12.75">
      <c r="A79" s="213"/>
      <c r="B79" s="214"/>
      <c r="C79" s="213"/>
      <c r="D79" s="215"/>
      <c r="E79" s="216"/>
      <c r="F79" s="216"/>
      <c r="G79" s="216"/>
      <c r="H79" s="187"/>
      <c r="I79" s="187"/>
      <c r="J79" s="216"/>
      <c r="K79" s="216"/>
      <c r="L79" s="216"/>
      <c r="M79" s="216"/>
      <c r="N79" s="216"/>
      <c r="O79" s="216"/>
      <c r="P79" s="216"/>
    </row>
    <row r="80" spans="1:16" ht="12.75">
      <c r="A80" s="213"/>
      <c r="B80" s="214"/>
      <c r="C80" s="213"/>
      <c r="D80" s="215"/>
      <c r="E80" s="216"/>
      <c r="F80" s="216"/>
      <c r="G80" s="216"/>
      <c r="H80" s="187"/>
      <c r="I80" s="187"/>
      <c r="J80" s="216"/>
      <c r="K80" s="216"/>
      <c r="L80" s="216"/>
      <c r="M80" s="216"/>
      <c r="N80" s="216"/>
      <c r="O80" s="216"/>
      <c r="P80" s="216"/>
    </row>
    <row r="81" spans="1:16" ht="12.75">
      <c r="A81" s="213"/>
      <c r="B81" s="214"/>
      <c r="C81" s="213"/>
      <c r="D81" s="215"/>
      <c r="E81" s="216"/>
      <c r="F81" s="216"/>
      <c r="G81" s="216"/>
      <c r="H81" s="187"/>
      <c r="I81" s="187"/>
      <c r="J81" s="216"/>
      <c r="K81" s="216"/>
      <c r="L81" s="216"/>
      <c r="M81" s="216"/>
      <c r="N81" s="216"/>
      <c r="O81" s="216"/>
      <c r="P81" s="216"/>
    </row>
    <row r="82" spans="1:16" ht="12.75">
      <c r="A82" s="213"/>
      <c r="B82" s="214"/>
      <c r="C82" s="213"/>
      <c r="D82" s="215"/>
      <c r="E82" s="216"/>
      <c r="F82" s="216"/>
      <c r="G82" s="216"/>
      <c r="H82" s="187"/>
      <c r="I82" s="187"/>
      <c r="J82" s="216"/>
      <c r="K82" s="216"/>
      <c r="L82" s="216"/>
      <c r="M82" s="216"/>
      <c r="N82" s="216"/>
      <c r="O82" s="216"/>
      <c r="P82" s="216"/>
    </row>
    <row r="83" spans="1:16" ht="12.75">
      <c r="A83" s="213"/>
      <c r="B83" s="214"/>
      <c r="C83" s="213"/>
      <c r="D83" s="215"/>
      <c r="E83" s="216"/>
      <c r="F83" s="216"/>
      <c r="G83" s="216"/>
      <c r="H83" s="187"/>
      <c r="I83" s="187"/>
      <c r="J83" s="216"/>
      <c r="K83" s="216"/>
      <c r="L83" s="216"/>
      <c r="M83" s="216"/>
      <c r="N83" s="216"/>
      <c r="O83" s="216"/>
      <c r="P83" s="216"/>
    </row>
    <row r="84" spans="1:16" ht="12.75">
      <c r="A84" s="213"/>
      <c r="B84" s="214"/>
      <c r="C84" s="213"/>
      <c r="D84" s="215"/>
      <c r="E84" s="216"/>
      <c r="F84" s="216"/>
      <c r="G84" s="216"/>
      <c r="H84" s="187"/>
      <c r="I84" s="187"/>
      <c r="J84" s="216"/>
      <c r="K84" s="216"/>
      <c r="L84" s="216"/>
      <c r="M84" s="216"/>
      <c r="N84" s="216"/>
      <c r="O84" s="216"/>
      <c r="P84" s="216"/>
    </row>
    <row r="85" spans="1:16" ht="12.75">
      <c r="A85" s="213"/>
      <c r="B85" s="214"/>
      <c r="C85" s="213"/>
      <c r="D85" s="215"/>
      <c r="E85" s="216"/>
      <c r="F85" s="216"/>
      <c r="G85" s="216"/>
      <c r="H85" s="187"/>
      <c r="I85" s="187"/>
      <c r="J85" s="216"/>
      <c r="K85" s="216"/>
      <c r="L85" s="216"/>
      <c r="M85" s="216"/>
      <c r="N85" s="216"/>
      <c r="O85" s="216"/>
      <c r="P85" s="216"/>
    </row>
    <row r="86" spans="1:16" ht="12.75">
      <c r="A86" s="213"/>
      <c r="B86" s="214"/>
      <c r="C86" s="213"/>
      <c r="D86" s="215"/>
      <c r="E86" s="216"/>
      <c r="F86" s="216"/>
      <c r="G86" s="216"/>
      <c r="H86" s="187"/>
      <c r="I86" s="187"/>
      <c r="J86" s="216"/>
      <c r="K86" s="216"/>
      <c r="L86" s="216"/>
      <c r="M86" s="216"/>
      <c r="N86" s="216"/>
      <c r="O86" s="216"/>
      <c r="P86" s="216"/>
    </row>
    <row r="87" spans="1:16" ht="12.75">
      <c r="A87" s="213"/>
      <c r="B87" s="214"/>
      <c r="C87" s="213"/>
      <c r="D87" s="215"/>
      <c r="E87" s="216"/>
      <c r="F87" s="216"/>
      <c r="G87" s="216"/>
      <c r="H87" s="187"/>
      <c r="I87" s="187"/>
      <c r="J87" s="216"/>
      <c r="K87" s="216"/>
      <c r="L87" s="216"/>
      <c r="M87" s="216"/>
      <c r="N87" s="216"/>
      <c r="O87" s="216"/>
      <c r="P87" s="216"/>
    </row>
    <row r="88" spans="1:16" ht="12.75">
      <c r="A88" s="213"/>
      <c r="B88" s="214"/>
      <c r="C88" s="213"/>
      <c r="D88" s="215"/>
      <c r="E88" s="216"/>
      <c r="F88" s="216"/>
      <c r="G88" s="216"/>
      <c r="H88" s="187"/>
      <c r="I88" s="187"/>
      <c r="J88" s="216"/>
      <c r="K88" s="216"/>
      <c r="L88" s="216"/>
      <c r="M88" s="216"/>
      <c r="N88" s="216"/>
      <c r="O88" s="216"/>
      <c r="P88" s="216"/>
    </row>
    <row r="89" spans="1:16" ht="12.75">
      <c r="A89" s="213"/>
      <c r="B89" s="214"/>
      <c r="C89" s="213"/>
      <c r="D89" s="215"/>
      <c r="E89" s="216"/>
      <c r="F89" s="216"/>
      <c r="G89" s="216"/>
      <c r="H89" s="187"/>
      <c r="I89" s="187"/>
      <c r="J89" s="216"/>
      <c r="K89" s="216"/>
      <c r="L89" s="216"/>
      <c r="M89" s="216"/>
      <c r="N89" s="216"/>
      <c r="O89" s="216"/>
      <c r="P89" s="216"/>
    </row>
    <row r="90" spans="1:16" ht="12.75">
      <c r="A90" s="213"/>
      <c r="B90" s="214"/>
      <c r="C90" s="213"/>
      <c r="D90" s="215"/>
      <c r="E90" s="216"/>
      <c r="F90" s="216"/>
      <c r="G90" s="216"/>
      <c r="H90" s="187"/>
      <c r="I90" s="187"/>
      <c r="J90" s="216"/>
      <c r="K90" s="216"/>
      <c r="L90" s="216"/>
      <c r="M90" s="216"/>
      <c r="N90" s="216"/>
      <c r="O90" s="216"/>
      <c r="P90" s="216"/>
    </row>
    <row r="91" spans="1:16" ht="12.75">
      <c r="A91" s="213"/>
      <c r="B91" s="214"/>
      <c r="C91" s="213"/>
      <c r="D91" s="215"/>
      <c r="E91" s="216"/>
      <c r="F91" s="216"/>
      <c r="G91" s="216"/>
      <c r="H91" s="187"/>
      <c r="I91" s="187"/>
      <c r="J91" s="216"/>
      <c r="K91" s="216"/>
      <c r="L91" s="216"/>
      <c r="M91" s="216"/>
      <c r="N91" s="216"/>
      <c r="O91" s="216"/>
      <c r="P91" s="216"/>
    </row>
    <row r="92" spans="1:16" ht="12.75">
      <c r="A92" s="213"/>
      <c r="B92" s="214"/>
      <c r="C92" s="213"/>
      <c r="D92" s="215"/>
      <c r="E92" s="216"/>
      <c r="F92" s="216"/>
      <c r="G92" s="216"/>
      <c r="H92" s="187"/>
      <c r="I92" s="187"/>
      <c r="J92" s="216"/>
      <c r="K92" s="216"/>
      <c r="L92" s="216"/>
      <c r="M92" s="216"/>
      <c r="N92" s="216"/>
      <c r="O92" s="216"/>
      <c r="P92" s="216"/>
    </row>
    <row r="93" spans="1:16" ht="12.75">
      <c r="A93" s="213"/>
      <c r="B93" s="214"/>
      <c r="C93" s="213"/>
      <c r="D93" s="215"/>
      <c r="E93" s="216"/>
      <c r="F93" s="216"/>
      <c r="G93" s="216"/>
      <c r="H93" s="187"/>
      <c r="I93" s="187"/>
      <c r="J93" s="216"/>
      <c r="K93" s="216"/>
      <c r="L93" s="216"/>
      <c r="M93" s="216"/>
      <c r="N93" s="216"/>
      <c r="O93" s="216"/>
      <c r="P93" s="216"/>
    </row>
    <row r="94" spans="1:16" ht="12.75">
      <c r="A94" s="213"/>
      <c r="B94" s="214"/>
      <c r="C94" s="213"/>
      <c r="D94" s="215"/>
      <c r="E94" s="216"/>
      <c r="F94" s="216"/>
      <c r="G94" s="216"/>
      <c r="H94" s="187"/>
      <c r="I94" s="187"/>
      <c r="J94" s="216"/>
      <c r="K94" s="216"/>
      <c r="L94" s="216"/>
      <c r="M94" s="216"/>
      <c r="N94" s="216"/>
      <c r="O94" s="216"/>
      <c r="P94" s="216"/>
    </row>
    <row r="95" spans="1:16" ht="12.75">
      <c r="A95" s="213"/>
      <c r="B95" s="214"/>
      <c r="C95" s="213"/>
      <c r="D95" s="215"/>
      <c r="E95" s="216"/>
      <c r="F95" s="216"/>
      <c r="G95" s="216"/>
      <c r="H95" s="187"/>
      <c r="I95" s="187"/>
      <c r="J95" s="216"/>
      <c r="K95" s="216"/>
      <c r="L95" s="216"/>
      <c r="M95" s="216"/>
      <c r="N95" s="216"/>
      <c r="O95" s="216"/>
      <c r="P95" s="216"/>
    </row>
    <row r="96" spans="1:16" ht="12.75">
      <c r="A96" s="213"/>
      <c r="B96" s="214"/>
      <c r="C96" s="213"/>
      <c r="D96" s="215"/>
      <c r="E96" s="216"/>
      <c r="F96" s="216"/>
      <c r="G96" s="216"/>
      <c r="H96" s="187"/>
      <c r="I96" s="187"/>
      <c r="J96" s="216"/>
      <c r="K96" s="216"/>
      <c r="L96" s="216"/>
      <c r="M96" s="216"/>
      <c r="N96" s="216"/>
      <c r="O96" s="216"/>
      <c r="P96" s="216"/>
    </row>
    <row r="97" spans="1:16" ht="12.75">
      <c r="A97" s="213"/>
      <c r="B97" s="214"/>
      <c r="C97" s="213"/>
      <c r="D97" s="215"/>
      <c r="E97" s="216"/>
      <c r="F97" s="216"/>
      <c r="G97" s="216"/>
      <c r="H97" s="187"/>
      <c r="I97" s="187"/>
      <c r="J97" s="216"/>
      <c r="K97" s="216"/>
      <c r="L97" s="216"/>
      <c r="M97" s="216"/>
      <c r="N97" s="216"/>
      <c r="O97" s="216"/>
      <c r="P97" s="216"/>
    </row>
    <row r="98" spans="1:16" ht="12.75">
      <c r="A98" s="213"/>
      <c r="B98" s="214"/>
      <c r="C98" s="213"/>
      <c r="D98" s="215"/>
      <c r="E98" s="216"/>
      <c r="F98" s="216"/>
      <c r="G98" s="216"/>
      <c r="H98" s="187"/>
      <c r="I98" s="187"/>
      <c r="J98" s="216"/>
      <c r="K98" s="216"/>
      <c r="L98" s="216"/>
      <c r="M98" s="216"/>
      <c r="N98" s="216"/>
      <c r="O98" s="216"/>
      <c r="P98" s="216"/>
    </row>
    <row r="99" spans="1:16" ht="12.75">
      <c r="A99" s="213"/>
      <c r="B99" s="214"/>
      <c r="C99" s="213"/>
      <c r="D99" s="215"/>
      <c r="E99" s="216"/>
      <c r="F99" s="216"/>
      <c r="G99" s="216"/>
      <c r="H99" s="187"/>
      <c r="I99" s="187"/>
      <c r="J99" s="216"/>
      <c r="K99" s="216"/>
      <c r="L99" s="216"/>
      <c r="M99" s="216"/>
      <c r="N99" s="216"/>
      <c r="O99" s="216"/>
      <c r="P99" s="216"/>
    </row>
    <row r="100" spans="1:16" ht="12.75">
      <c r="A100" s="213"/>
      <c r="B100" s="214"/>
      <c r="C100" s="213"/>
      <c r="D100" s="215"/>
      <c r="E100" s="216"/>
      <c r="F100" s="216"/>
      <c r="G100" s="216"/>
      <c r="H100" s="187"/>
      <c r="I100" s="187"/>
      <c r="J100" s="216"/>
      <c r="K100" s="216"/>
      <c r="L100" s="216"/>
      <c r="M100" s="216"/>
      <c r="N100" s="216"/>
      <c r="O100" s="216"/>
      <c r="P100" s="216"/>
    </row>
    <row r="101" spans="1:16" ht="12.75">
      <c r="A101" s="213"/>
      <c r="B101" s="214"/>
      <c r="C101" s="213"/>
      <c r="D101" s="215"/>
      <c r="E101" s="216"/>
      <c r="F101" s="216"/>
      <c r="G101" s="216"/>
      <c r="H101" s="187"/>
      <c r="I101" s="187"/>
      <c r="J101" s="216"/>
      <c r="K101" s="216"/>
      <c r="L101" s="216"/>
      <c r="M101" s="216"/>
      <c r="N101" s="216"/>
      <c r="O101" s="216"/>
      <c r="P101" s="216"/>
    </row>
    <row r="102" spans="1:16" ht="12.75">
      <c r="A102" s="213"/>
      <c r="B102" s="214"/>
      <c r="C102" s="213"/>
      <c r="D102" s="215"/>
      <c r="E102" s="216"/>
      <c r="F102" s="216"/>
      <c r="G102" s="216"/>
      <c r="H102" s="187"/>
      <c r="I102" s="187"/>
      <c r="J102" s="216"/>
      <c r="K102" s="216"/>
      <c r="L102" s="216"/>
      <c r="M102" s="216"/>
      <c r="N102" s="216"/>
      <c r="O102" s="216"/>
      <c r="P102" s="216"/>
    </row>
    <row r="103" spans="1:16" ht="12.75">
      <c r="A103" s="213"/>
      <c r="B103" s="214"/>
      <c r="C103" s="213"/>
      <c r="D103" s="215"/>
      <c r="E103" s="216"/>
      <c r="F103" s="216"/>
      <c r="G103" s="216"/>
      <c r="H103" s="187"/>
      <c r="I103" s="187"/>
      <c r="J103" s="216"/>
      <c r="K103" s="216"/>
      <c r="L103" s="216"/>
      <c r="M103" s="216"/>
      <c r="N103" s="216"/>
      <c r="O103" s="216"/>
      <c r="P103" s="216"/>
    </row>
    <row r="104" spans="1:16" ht="12.75">
      <c r="A104" s="213"/>
      <c r="B104" s="214"/>
      <c r="C104" s="213"/>
      <c r="D104" s="215"/>
      <c r="E104" s="216"/>
      <c r="F104" s="216"/>
      <c r="G104" s="216"/>
      <c r="H104" s="187"/>
      <c r="I104" s="187"/>
      <c r="J104" s="216"/>
      <c r="K104" s="216"/>
      <c r="L104" s="216"/>
      <c r="M104" s="216"/>
      <c r="N104" s="216"/>
      <c r="O104" s="216"/>
      <c r="P104" s="216"/>
    </row>
    <row r="105" spans="1:16" ht="12.75">
      <c r="A105" s="213"/>
      <c r="B105" s="214"/>
      <c r="C105" s="213"/>
      <c r="D105" s="215"/>
      <c r="E105" s="216"/>
      <c r="F105" s="216"/>
      <c r="G105" s="216"/>
      <c r="H105" s="187"/>
      <c r="I105" s="187"/>
      <c r="J105" s="216"/>
      <c r="K105" s="216"/>
      <c r="L105" s="216"/>
      <c r="M105" s="216"/>
      <c r="N105" s="216"/>
      <c r="O105" s="216"/>
      <c r="P105" s="216"/>
    </row>
    <row r="106" spans="1:16" ht="12.75">
      <c r="A106" s="213"/>
      <c r="B106" s="214"/>
      <c r="C106" s="213"/>
      <c r="D106" s="215"/>
      <c r="E106" s="216"/>
      <c r="F106" s="216"/>
      <c r="G106" s="216"/>
      <c r="H106" s="187"/>
      <c r="I106" s="187"/>
      <c r="J106" s="216"/>
      <c r="K106" s="216"/>
      <c r="L106" s="216"/>
      <c r="M106" s="216"/>
      <c r="N106" s="216"/>
      <c r="O106" s="216"/>
      <c r="P106" s="216"/>
    </row>
    <row r="107" spans="1:16" ht="12.75">
      <c r="A107" s="213"/>
      <c r="B107" s="214"/>
      <c r="C107" s="213"/>
      <c r="D107" s="215"/>
      <c r="E107" s="216"/>
      <c r="F107" s="216"/>
      <c r="G107" s="216"/>
      <c r="H107" s="187"/>
      <c r="I107" s="187"/>
      <c r="J107" s="216"/>
      <c r="K107" s="216"/>
      <c r="L107" s="216"/>
      <c r="M107" s="216"/>
      <c r="N107" s="216"/>
      <c r="O107" s="216"/>
      <c r="P107" s="216"/>
    </row>
    <row r="108" spans="1:16" ht="12.75">
      <c r="A108" s="213"/>
      <c r="B108" s="214"/>
      <c r="C108" s="213"/>
      <c r="D108" s="215"/>
      <c r="E108" s="216"/>
      <c r="F108" s="216"/>
      <c r="G108" s="216"/>
      <c r="H108" s="187"/>
      <c r="I108" s="187"/>
      <c r="J108" s="216"/>
      <c r="K108" s="216"/>
      <c r="L108" s="216"/>
      <c r="M108" s="216"/>
      <c r="N108" s="216"/>
      <c r="O108" s="216"/>
      <c r="P108" s="216"/>
    </row>
    <row r="109" spans="1:16" ht="12.75">
      <c r="A109" s="213"/>
      <c r="B109" s="214"/>
      <c r="C109" s="213"/>
      <c r="D109" s="215"/>
      <c r="E109" s="216"/>
      <c r="F109" s="216"/>
      <c r="G109" s="216"/>
      <c r="H109" s="187"/>
      <c r="I109" s="187"/>
      <c r="J109" s="216"/>
      <c r="K109" s="216"/>
      <c r="L109" s="216"/>
      <c r="M109" s="216"/>
      <c r="N109" s="216"/>
      <c r="O109" s="216"/>
      <c r="P109" s="216"/>
    </row>
    <row r="110" spans="1:16" ht="12.75">
      <c r="A110" s="213"/>
      <c r="B110" s="214"/>
      <c r="C110" s="213"/>
      <c r="D110" s="215"/>
      <c r="E110" s="216"/>
      <c r="F110" s="216"/>
      <c r="G110" s="216"/>
      <c r="H110" s="187"/>
      <c r="I110" s="187"/>
      <c r="J110" s="216"/>
      <c r="K110" s="216"/>
      <c r="L110" s="216"/>
      <c r="M110" s="216"/>
      <c r="N110" s="216"/>
      <c r="O110" s="216"/>
      <c r="P110" s="216"/>
    </row>
    <row r="111" spans="1:16" ht="12.75">
      <c r="A111" s="213"/>
      <c r="B111" s="214"/>
      <c r="C111" s="213"/>
      <c r="D111" s="215"/>
      <c r="E111" s="216"/>
      <c r="F111" s="216"/>
      <c r="G111" s="216"/>
      <c r="H111" s="187"/>
      <c r="I111" s="187"/>
      <c r="J111" s="216"/>
      <c r="K111" s="216"/>
      <c r="L111" s="216"/>
      <c r="M111" s="216"/>
      <c r="N111" s="216"/>
      <c r="O111" s="216"/>
      <c r="P111" s="216"/>
    </row>
    <row r="112" spans="1:16" ht="12.75">
      <c r="A112" s="213"/>
      <c r="B112" s="214"/>
      <c r="C112" s="213"/>
      <c r="D112" s="215"/>
      <c r="E112" s="216"/>
      <c r="F112" s="216"/>
      <c r="G112" s="216"/>
      <c r="H112" s="187"/>
      <c r="I112" s="187"/>
      <c r="J112" s="216"/>
      <c r="K112" s="216"/>
      <c r="L112" s="216"/>
      <c r="M112" s="216"/>
      <c r="N112" s="216"/>
      <c r="O112" s="216"/>
      <c r="P112" s="216"/>
    </row>
    <row r="113" spans="1:16" ht="12.75">
      <c r="A113" s="213"/>
      <c r="B113" s="214"/>
      <c r="C113" s="213"/>
      <c r="D113" s="215"/>
      <c r="E113" s="216"/>
      <c r="F113" s="216"/>
      <c r="G113" s="216"/>
      <c r="H113" s="187"/>
      <c r="I113" s="187"/>
      <c r="J113" s="216"/>
      <c r="K113" s="216"/>
      <c r="L113" s="216"/>
      <c r="M113" s="216"/>
      <c r="N113" s="216"/>
      <c r="O113" s="216"/>
      <c r="P113" s="216"/>
    </row>
    <row r="114" spans="1:16" ht="12.75">
      <c r="A114" s="213"/>
      <c r="B114" s="214"/>
      <c r="C114" s="213"/>
      <c r="D114" s="215"/>
      <c r="E114" s="216"/>
      <c r="F114" s="216"/>
      <c r="G114" s="216"/>
      <c r="H114" s="187"/>
      <c r="I114" s="187"/>
      <c r="J114" s="216"/>
      <c r="K114" s="216"/>
      <c r="L114" s="216"/>
      <c r="M114" s="216"/>
      <c r="N114" s="216"/>
      <c r="O114" s="216"/>
      <c r="P114" s="216"/>
    </row>
    <row r="115" spans="1:16" ht="12.75">
      <c r="A115" s="213"/>
      <c r="B115" s="214"/>
      <c r="C115" s="213"/>
      <c r="D115" s="215"/>
      <c r="E115" s="216"/>
      <c r="F115" s="216"/>
      <c r="G115" s="216"/>
      <c r="H115" s="187"/>
      <c r="I115" s="187"/>
      <c r="J115" s="216"/>
      <c r="K115" s="216"/>
      <c r="L115" s="216"/>
      <c r="M115" s="216"/>
      <c r="N115" s="216"/>
      <c r="O115" s="216"/>
      <c r="P115" s="216"/>
    </row>
    <row r="116" spans="1:16" ht="12.75">
      <c r="A116" s="213"/>
      <c r="B116" s="214"/>
      <c r="C116" s="213"/>
      <c r="D116" s="215"/>
      <c r="E116" s="216"/>
      <c r="F116" s="216"/>
      <c r="G116" s="216"/>
      <c r="H116" s="187"/>
      <c r="I116" s="187"/>
      <c r="J116" s="216"/>
      <c r="K116" s="216"/>
      <c r="L116" s="216"/>
      <c r="M116" s="216"/>
      <c r="N116" s="216"/>
      <c r="O116" s="216"/>
      <c r="P116" s="216"/>
    </row>
    <row r="117" spans="1:16" ht="12.75">
      <c r="A117" s="213"/>
      <c r="B117" s="214"/>
      <c r="C117" s="213"/>
      <c r="D117" s="215"/>
      <c r="E117" s="216"/>
      <c r="F117" s="216"/>
      <c r="G117" s="216"/>
      <c r="H117" s="187"/>
      <c r="I117" s="187"/>
      <c r="J117" s="216"/>
      <c r="K117" s="216"/>
      <c r="L117" s="216"/>
      <c r="M117" s="216"/>
      <c r="N117" s="216"/>
      <c r="O117" s="216"/>
      <c r="P117" s="216"/>
    </row>
    <row r="118" spans="1:16" ht="12.75">
      <c r="A118" s="213"/>
      <c r="B118" s="214"/>
      <c r="C118" s="213"/>
      <c r="D118" s="215"/>
      <c r="E118" s="216"/>
      <c r="F118" s="216"/>
      <c r="G118" s="216"/>
      <c r="H118" s="187"/>
      <c r="I118" s="187"/>
      <c r="J118" s="216"/>
      <c r="K118" s="216"/>
      <c r="L118" s="216"/>
      <c r="M118" s="216"/>
      <c r="N118" s="216"/>
      <c r="O118" s="216"/>
      <c r="P118" s="216"/>
    </row>
    <row r="119" spans="1:16" ht="12.75">
      <c r="A119" s="213"/>
      <c r="B119" s="214"/>
      <c r="C119" s="213"/>
      <c r="D119" s="215"/>
      <c r="E119" s="216"/>
      <c r="F119" s="216"/>
      <c r="G119" s="216"/>
      <c r="H119" s="187"/>
      <c r="I119" s="187"/>
      <c r="J119" s="216"/>
      <c r="K119" s="216"/>
      <c r="L119" s="216"/>
      <c r="M119" s="216"/>
      <c r="N119" s="216"/>
      <c r="O119" s="216"/>
      <c r="P119" s="216"/>
    </row>
    <row r="120" spans="1:16" ht="12.75">
      <c r="A120" s="213"/>
      <c r="B120" s="214"/>
      <c r="C120" s="213"/>
      <c r="D120" s="215"/>
      <c r="E120" s="216"/>
      <c r="F120" s="216"/>
      <c r="G120" s="216"/>
      <c r="H120" s="187"/>
      <c r="I120" s="187"/>
      <c r="J120" s="216"/>
      <c r="K120" s="216"/>
      <c r="L120" s="216"/>
      <c r="M120" s="216"/>
      <c r="N120" s="216"/>
      <c r="O120" s="216"/>
      <c r="P120" s="216"/>
    </row>
    <row r="121" spans="1:16" ht="12.75">
      <c r="A121" s="213"/>
      <c r="B121" s="214"/>
      <c r="C121" s="213"/>
      <c r="D121" s="215"/>
      <c r="E121" s="216"/>
      <c r="F121" s="216"/>
      <c r="G121" s="216"/>
      <c r="H121" s="187"/>
      <c r="I121" s="187"/>
      <c r="J121" s="216"/>
      <c r="K121" s="216"/>
      <c r="L121" s="216"/>
      <c r="M121" s="216"/>
      <c r="N121" s="216"/>
      <c r="O121" s="216"/>
      <c r="P121" s="216"/>
    </row>
    <row r="122" spans="1:16" ht="12.75">
      <c r="A122" s="213"/>
      <c r="B122" s="214"/>
      <c r="C122" s="213"/>
      <c r="D122" s="215"/>
      <c r="E122" s="216"/>
      <c r="F122" s="216"/>
      <c r="G122" s="216"/>
      <c r="H122" s="187"/>
      <c r="I122" s="187"/>
      <c r="J122" s="216"/>
      <c r="K122" s="216"/>
      <c r="L122" s="216"/>
      <c r="M122" s="216"/>
      <c r="N122" s="216"/>
      <c r="O122" s="216"/>
      <c r="P122" s="216"/>
    </row>
    <row r="123" spans="1:16" ht="12.75">
      <c r="A123" s="213"/>
      <c r="B123" s="214"/>
      <c r="C123" s="213"/>
      <c r="D123" s="215"/>
      <c r="E123" s="216"/>
      <c r="F123" s="216"/>
      <c r="G123" s="216"/>
      <c r="H123" s="187"/>
      <c r="I123" s="187"/>
      <c r="J123" s="216"/>
      <c r="K123" s="216"/>
      <c r="L123" s="216"/>
      <c r="M123" s="216"/>
      <c r="N123" s="216"/>
      <c r="O123" s="216"/>
      <c r="P123" s="216"/>
    </row>
    <row r="124" spans="1:16" ht="12.75">
      <c r="A124" s="213"/>
      <c r="B124" s="214"/>
      <c r="C124" s="213"/>
      <c r="D124" s="215"/>
      <c r="E124" s="216"/>
      <c r="F124" s="216"/>
      <c r="G124" s="216"/>
      <c r="H124" s="187"/>
      <c r="I124" s="187"/>
      <c r="J124" s="216"/>
      <c r="K124" s="216"/>
      <c r="L124" s="216"/>
      <c r="M124" s="216"/>
      <c r="N124" s="216"/>
      <c r="O124" s="216"/>
      <c r="P124" s="216"/>
    </row>
    <row r="125" spans="1:16" ht="12.75">
      <c r="A125" s="213"/>
      <c r="B125" s="214"/>
      <c r="C125" s="213"/>
      <c r="D125" s="215"/>
      <c r="E125" s="216"/>
      <c r="F125" s="216"/>
      <c r="G125" s="216"/>
      <c r="H125" s="187"/>
      <c r="I125" s="187"/>
      <c r="J125" s="216"/>
      <c r="K125" s="216"/>
      <c r="L125" s="216"/>
      <c r="M125" s="216"/>
      <c r="N125" s="216"/>
      <c r="O125" s="216"/>
      <c r="P125" s="216"/>
    </row>
    <row r="126" spans="1:16" ht="12.75">
      <c r="A126" s="213"/>
      <c r="B126" s="214"/>
      <c r="C126" s="213"/>
      <c r="D126" s="215"/>
      <c r="E126" s="216"/>
      <c r="F126" s="216"/>
      <c r="G126" s="216"/>
      <c r="H126" s="187"/>
      <c r="I126" s="187"/>
      <c r="J126" s="216"/>
      <c r="K126" s="216"/>
      <c r="L126" s="216"/>
      <c r="M126" s="216"/>
      <c r="N126" s="216"/>
      <c r="O126" s="216"/>
      <c r="P126" s="216"/>
    </row>
    <row r="127" spans="1:16" ht="12.75">
      <c r="A127" s="213"/>
      <c r="B127" s="214"/>
      <c r="C127" s="213"/>
      <c r="D127" s="215"/>
      <c r="E127" s="216"/>
      <c r="F127" s="216"/>
      <c r="G127" s="216"/>
      <c r="H127" s="187"/>
      <c r="I127" s="187"/>
      <c r="J127" s="216"/>
      <c r="K127" s="216"/>
      <c r="L127" s="216"/>
      <c r="M127" s="216"/>
      <c r="N127" s="216"/>
      <c r="O127" s="216"/>
      <c r="P127" s="216"/>
    </row>
    <row r="128" spans="1:16" ht="12.75">
      <c r="A128" s="213"/>
      <c r="B128" s="214"/>
      <c r="C128" s="213"/>
      <c r="D128" s="215"/>
      <c r="E128" s="216"/>
      <c r="F128" s="216"/>
      <c r="G128" s="216"/>
      <c r="H128" s="187"/>
      <c r="I128" s="187"/>
      <c r="J128" s="216"/>
      <c r="K128" s="216"/>
      <c r="L128" s="216"/>
      <c r="M128" s="216"/>
      <c r="N128" s="216"/>
      <c r="O128" s="216"/>
      <c r="P128" s="216"/>
    </row>
    <row r="129" spans="1:16" ht="12.75">
      <c r="A129" s="213"/>
      <c r="B129" s="214"/>
      <c r="C129" s="213"/>
      <c r="D129" s="215"/>
      <c r="E129" s="216"/>
      <c r="F129" s="216"/>
      <c r="G129" s="216"/>
      <c r="H129" s="187"/>
      <c r="I129" s="187"/>
      <c r="J129" s="216"/>
      <c r="K129" s="216"/>
      <c r="L129" s="216"/>
      <c r="M129" s="216"/>
      <c r="N129" s="216"/>
      <c r="O129" s="216"/>
      <c r="P129" s="216"/>
    </row>
    <row r="130" spans="1:16" ht="12.75">
      <c r="A130" s="213"/>
      <c r="B130" s="214"/>
      <c r="C130" s="213"/>
      <c r="D130" s="215"/>
      <c r="E130" s="216"/>
      <c r="F130" s="216"/>
      <c r="G130" s="216"/>
      <c r="H130" s="187"/>
      <c r="I130" s="187"/>
      <c r="J130" s="216"/>
      <c r="K130" s="216"/>
      <c r="L130" s="216"/>
      <c r="M130" s="216"/>
      <c r="N130" s="216"/>
      <c r="O130" s="216"/>
      <c r="P130" s="216"/>
    </row>
    <row r="131" spans="1:16" ht="12.75">
      <c r="A131" s="213"/>
      <c r="B131" s="214"/>
      <c r="C131" s="213"/>
      <c r="D131" s="215"/>
      <c r="E131" s="216"/>
      <c r="F131" s="216"/>
      <c r="G131" s="216"/>
      <c r="H131" s="187"/>
      <c r="I131" s="187"/>
      <c r="J131" s="216"/>
      <c r="K131" s="216"/>
      <c r="L131" s="216"/>
      <c r="M131" s="216"/>
      <c r="N131" s="216"/>
      <c r="O131" s="216"/>
      <c r="P131" s="216"/>
    </row>
    <row r="132" spans="1:16" ht="12.75">
      <c r="A132" s="213"/>
      <c r="B132" s="214"/>
      <c r="C132" s="213"/>
      <c r="D132" s="215"/>
      <c r="E132" s="216"/>
      <c r="F132" s="216"/>
      <c r="G132" s="216"/>
      <c r="H132" s="187"/>
      <c r="I132" s="187"/>
      <c r="J132" s="216"/>
      <c r="K132" s="216"/>
      <c r="L132" s="216"/>
      <c r="M132" s="216"/>
      <c r="N132" s="216"/>
      <c r="O132" s="216"/>
      <c r="P132" s="216"/>
    </row>
    <row r="133" spans="1:16" ht="12.75">
      <c r="A133" s="213"/>
      <c r="B133" s="214"/>
      <c r="C133" s="213"/>
      <c r="D133" s="215"/>
      <c r="E133" s="216"/>
      <c r="F133" s="216"/>
      <c r="G133" s="216"/>
      <c r="H133" s="187"/>
      <c r="I133" s="187"/>
      <c r="J133" s="216"/>
      <c r="K133" s="216"/>
      <c r="L133" s="216"/>
      <c r="M133" s="216"/>
      <c r="N133" s="216"/>
      <c r="O133" s="216"/>
      <c r="P133" s="216"/>
    </row>
    <row r="134" spans="1:16" ht="12.75">
      <c r="A134" s="213"/>
      <c r="B134" s="214"/>
      <c r="C134" s="213"/>
      <c r="D134" s="215"/>
      <c r="E134" s="216"/>
      <c r="F134" s="216"/>
      <c r="G134" s="216"/>
      <c r="H134" s="187"/>
      <c r="I134" s="187"/>
      <c r="J134" s="216"/>
      <c r="K134" s="216"/>
      <c r="L134" s="216"/>
      <c r="M134" s="216"/>
      <c r="N134" s="216"/>
      <c r="O134" s="216"/>
      <c r="P134" s="216"/>
    </row>
    <row r="135" spans="1:16" ht="12.75">
      <c r="A135" s="213"/>
      <c r="B135" s="214"/>
      <c r="C135" s="213"/>
      <c r="D135" s="215"/>
      <c r="E135" s="216"/>
      <c r="F135" s="216"/>
      <c r="G135" s="216"/>
      <c r="H135" s="187"/>
      <c r="I135" s="187"/>
      <c r="J135" s="216"/>
      <c r="K135" s="216"/>
      <c r="L135" s="216"/>
      <c r="M135" s="216"/>
      <c r="N135" s="216"/>
      <c r="O135" s="216"/>
      <c r="P135" s="216"/>
    </row>
    <row r="136" spans="1:16" ht="12.75">
      <c r="A136" s="213"/>
      <c r="B136" s="214"/>
      <c r="C136" s="213"/>
      <c r="D136" s="215"/>
      <c r="E136" s="216"/>
      <c r="F136" s="216"/>
      <c r="G136" s="216"/>
      <c r="H136" s="187"/>
      <c r="I136" s="187"/>
      <c r="J136" s="216"/>
      <c r="K136" s="216"/>
      <c r="L136" s="216"/>
      <c r="M136" s="216"/>
      <c r="N136" s="216"/>
      <c r="O136" s="216"/>
      <c r="P136" s="216"/>
    </row>
    <row r="137" spans="1:16" ht="12.75">
      <c r="A137" s="213"/>
      <c r="B137" s="214"/>
      <c r="C137" s="213"/>
      <c r="D137" s="215"/>
      <c r="E137" s="216"/>
      <c r="F137" s="216"/>
      <c r="G137" s="216"/>
      <c r="H137" s="187"/>
      <c r="I137" s="187"/>
      <c r="J137" s="216"/>
      <c r="K137" s="216"/>
      <c r="L137" s="216"/>
      <c r="M137" s="216"/>
      <c r="N137" s="216"/>
      <c r="O137" s="216"/>
      <c r="P137" s="216"/>
    </row>
    <row r="138" spans="1:16" ht="12.75">
      <c r="A138" s="213"/>
      <c r="B138" s="214"/>
      <c r="C138" s="213"/>
      <c r="D138" s="215"/>
      <c r="E138" s="216"/>
      <c r="F138" s="216"/>
      <c r="G138" s="216"/>
      <c r="H138" s="187"/>
      <c r="I138" s="187"/>
      <c r="J138" s="216"/>
      <c r="K138" s="216"/>
      <c r="L138" s="216"/>
      <c r="M138" s="216"/>
      <c r="N138" s="216"/>
      <c r="O138" s="216"/>
      <c r="P138" s="216"/>
    </row>
    <row r="139" spans="1:16" ht="12.75">
      <c r="A139" s="213"/>
      <c r="B139" s="214"/>
      <c r="C139" s="213"/>
      <c r="D139" s="215"/>
      <c r="E139" s="216"/>
      <c r="F139" s="216"/>
      <c r="G139" s="216"/>
      <c r="H139" s="187"/>
      <c r="I139" s="187"/>
      <c r="J139" s="216"/>
      <c r="K139" s="216"/>
      <c r="L139" s="216"/>
      <c r="M139" s="216"/>
      <c r="N139" s="216"/>
      <c r="O139" s="216"/>
      <c r="P139" s="216"/>
    </row>
    <row r="140" spans="1:16" ht="12.75">
      <c r="A140" s="213"/>
      <c r="B140" s="214"/>
      <c r="C140" s="213"/>
      <c r="D140" s="215"/>
      <c r="E140" s="216"/>
      <c r="F140" s="216"/>
      <c r="G140" s="216"/>
      <c r="H140" s="187"/>
      <c r="I140" s="187"/>
      <c r="J140" s="216"/>
      <c r="K140" s="216"/>
      <c r="L140" s="216"/>
      <c r="M140" s="216"/>
      <c r="N140" s="216"/>
      <c r="O140" s="216"/>
      <c r="P140" s="216"/>
    </row>
    <row r="141" spans="1:16" ht="12.75">
      <c r="A141" s="213"/>
      <c r="B141" s="214"/>
      <c r="C141" s="213"/>
      <c r="D141" s="215"/>
      <c r="E141" s="216"/>
      <c r="F141" s="216"/>
      <c r="G141" s="216"/>
      <c r="H141" s="187"/>
      <c r="I141" s="187"/>
      <c r="J141" s="216"/>
      <c r="K141" s="216"/>
      <c r="L141" s="216"/>
      <c r="M141" s="216"/>
      <c r="N141" s="216"/>
      <c r="O141" s="216"/>
      <c r="P141" s="216"/>
    </row>
    <row r="142" spans="1:16" ht="12.75">
      <c r="A142" s="213"/>
      <c r="B142" s="214"/>
      <c r="C142" s="213"/>
      <c r="D142" s="215"/>
      <c r="E142" s="216"/>
      <c r="F142" s="216"/>
      <c r="G142" s="216"/>
      <c r="H142" s="187"/>
      <c r="I142" s="187"/>
      <c r="J142" s="216"/>
      <c r="K142" s="216"/>
      <c r="L142" s="216"/>
      <c r="M142" s="216"/>
      <c r="N142" s="216"/>
      <c r="O142" s="216"/>
      <c r="P142" s="216"/>
    </row>
    <row r="143" spans="1:16" ht="12.75">
      <c r="A143" s="213"/>
      <c r="B143" s="214"/>
      <c r="C143" s="213"/>
      <c r="D143" s="215"/>
      <c r="E143" s="216"/>
      <c r="F143" s="216"/>
      <c r="G143" s="216"/>
      <c r="H143" s="187"/>
      <c r="I143" s="187"/>
      <c r="J143" s="216"/>
      <c r="K143" s="216"/>
      <c r="L143" s="216"/>
      <c r="M143" s="216"/>
      <c r="N143" s="216"/>
      <c r="O143" s="216"/>
      <c r="P143" s="216"/>
    </row>
    <row r="144" spans="1:16" ht="12.75">
      <c r="A144" s="213"/>
      <c r="B144" s="214"/>
      <c r="C144" s="213"/>
      <c r="D144" s="215"/>
      <c r="E144" s="216"/>
      <c r="F144" s="216"/>
      <c r="G144" s="216"/>
      <c r="H144" s="187"/>
      <c r="I144" s="187"/>
      <c r="J144" s="216"/>
      <c r="K144" s="216"/>
      <c r="L144" s="216"/>
      <c r="M144" s="216"/>
      <c r="N144" s="216"/>
      <c r="O144" s="216"/>
      <c r="P144" s="216"/>
    </row>
    <row r="145" spans="1:16" ht="12.75">
      <c r="A145" s="213"/>
      <c r="B145" s="214"/>
      <c r="C145" s="213"/>
      <c r="D145" s="215"/>
      <c r="E145" s="216"/>
      <c r="F145" s="216"/>
      <c r="G145" s="216"/>
      <c r="H145" s="187"/>
      <c r="I145" s="187"/>
      <c r="J145" s="216"/>
      <c r="K145" s="216"/>
      <c r="L145" s="216"/>
      <c r="M145" s="216"/>
      <c r="N145" s="216"/>
      <c r="O145" s="216"/>
      <c r="P145" s="216"/>
    </row>
    <row r="146" spans="1:16" ht="12.75">
      <c r="A146" s="213"/>
      <c r="B146" s="214"/>
      <c r="C146" s="213"/>
      <c r="D146" s="215"/>
      <c r="E146" s="216"/>
      <c r="F146" s="216"/>
      <c r="G146" s="216"/>
      <c r="H146" s="187"/>
      <c r="I146" s="187"/>
      <c r="J146" s="216"/>
      <c r="K146" s="216"/>
      <c r="L146" s="216"/>
      <c r="M146" s="216"/>
      <c r="N146" s="216"/>
      <c r="O146" s="216"/>
      <c r="P146" s="216"/>
    </row>
    <row r="147" spans="1:16" ht="12.75">
      <c r="A147" s="213"/>
      <c r="B147" s="214"/>
      <c r="C147" s="213"/>
      <c r="D147" s="215"/>
      <c r="E147" s="216"/>
      <c r="F147" s="216"/>
      <c r="G147" s="216"/>
      <c r="H147" s="187"/>
      <c r="I147" s="187"/>
      <c r="J147" s="216"/>
      <c r="K147" s="216"/>
      <c r="L147" s="216"/>
      <c r="M147" s="216"/>
      <c r="N147" s="216"/>
      <c r="O147" s="216"/>
      <c r="P147" s="216"/>
    </row>
    <row r="148" spans="1:16" ht="12.75">
      <c r="A148" s="213"/>
      <c r="B148" s="214"/>
      <c r="C148" s="213"/>
      <c r="D148" s="215"/>
      <c r="E148" s="216"/>
      <c r="F148" s="216"/>
      <c r="G148" s="216"/>
      <c r="H148" s="187"/>
      <c r="I148" s="187"/>
      <c r="J148" s="216"/>
      <c r="K148" s="216"/>
      <c r="L148" s="216"/>
      <c r="M148" s="216"/>
      <c r="N148" s="216"/>
      <c r="O148" s="216"/>
      <c r="P148" s="216"/>
    </row>
    <row r="149" spans="1:16" ht="12.75">
      <c r="A149" s="213"/>
      <c r="B149" s="214"/>
      <c r="C149" s="213"/>
      <c r="D149" s="215"/>
      <c r="E149" s="216"/>
      <c r="F149" s="216"/>
      <c r="G149" s="216"/>
      <c r="H149" s="187"/>
      <c r="I149" s="187"/>
      <c r="J149" s="216"/>
      <c r="K149" s="216"/>
      <c r="L149" s="216"/>
      <c r="M149" s="216"/>
      <c r="N149" s="216"/>
      <c r="O149" s="216"/>
      <c r="P149" s="216"/>
    </row>
    <row r="150" spans="1:16" ht="12.75">
      <c r="A150" s="213"/>
      <c r="B150" s="214"/>
      <c r="C150" s="213"/>
      <c r="D150" s="215"/>
      <c r="E150" s="216"/>
      <c r="F150" s="216"/>
      <c r="G150" s="216"/>
      <c r="H150" s="187"/>
      <c r="I150" s="187"/>
      <c r="J150" s="216"/>
      <c r="K150" s="216"/>
      <c r="L150" s="216"/>
      <c r="M150" s="216"/>
      <c r="N150" s="216"/>
      <c r="O150" s="216"/>
      <c r="P150" s="216"/>
    </row>
    <row r="151" spans="1:16" ht="12.75">
      <c r="A151" s="213"/>
      <c r="B151" s="214"/>
      <c r="C151" s="213"/>
      <c r="D151" s="215"/>
      <c r="E151" s="216"/>
      <c r="F151" s="216"/>
      <c r="G151" s="216"/>
      <c r="H151" s="187"/>
      <c r="I151" s="187"/>
      <c r="J151" s="216"/>
      <c r="K151" s="216"/>
      <c r="L151" s="216"/>
      <c r="M151" s="216"/>
      <c r="N151" s="216"/>
      <c r="O151" s="216"/>
      <c r="P151" s="216"/>
    </row>
    <row r="152" spans="1:16" ht="12.75">
      <c r="A152" s="213"/>
      <c r="B152" s="214"/>
      <c r="C152" s="213"/>
      <c r="D152" s="215"/>
      <c r="E152" s="216"/>
      <c r="F152" s="216"/>
      <c r="G152" s="216"/>
      <c r="H152" s="187"/>
      <c r="I152" s="187"/>
      <c r="J152" s="216"/>
      <c r="K152" s="216"/>
      <c r="L152" s="216"/>
      <c r="M152" s="216"/>
      <c r="N152" s="216"/>
      <c r="O152" s="216"/>
      <c r="P152" s="216"/>
    </row>
    <row r="153" spans="1:16" ht="12.75">
      <c r="A153" s="213"/>
      <c r="B153" s="214"/>
      <c r="C153" s="213"/>
      <c r="D153" s="215"/>
      <c r="E153" s="216"/>
      <c r="F153" s="216"/>
      <c r="G153" s="216"/>
      <c r="H153" s="187"/>
      <c r="I153" s="187"/>
      <c r="J153" s="216"/>
      <c r="K153" s="216"/>
      <c r="L153" s="216"/>
      <c r="M153" s="216"/>
      <c r="N153" s="216"/>
      <c r="O153" s="216"/>
      <c r="P153" s="216"/>
    </row>
    <row r="154" spans="1:16" ht="12.75">
      <c r="A154" s="213"/>
      <c r="B154" s="214"/>
      <c r="C154" s="213"/>
      <c r="D154" s="215"/>
      <c r="E154" s="216"/>
      <c r="F154" s="216"/>
      <c r="G154" s="216"/>
      <c r="H154" s="187"/>
      <c r="I154" s="187"/>
      <c r="J154" s="216"/>
      <c r="K154" s="216"/>
      <c r="L154" s="216"/>
      <c r="M154" s="216"/>
      <c r="N154" s="216"/>
      <c r="O154" s="216"/>
      <c r="P154" s="216"/>
    </row>
    <row r="155" spans="1:16" ht="12.75">
      <c r="A155" s="213"/>
      <c r="B155" s="214"/>
      <c r="C155" s="213"/>
      <c r="D155" s="215"/>
      <c r="E155" s="216"/>
      <c r="F155" s="216"/>
      <c r="G155" s="216"/>
      <c r="H155" s="187"/>
      <c r="I155" s="187"/>
      <c r="J155" s="216"/>
      <c r="K155" s="216"/>
      <c r="L155" s="216"/>
      <c r="M155" s="216"/>
      <c r="N155" s="216"/>
      <c r="O155" s="216"/>
      <c r="P155" s="216"/>
    </row>
    <row r="156" spans="1:16" ht="12.75">
      <c r="A156" s="213"/>
      <c r="B156" s="214"/>
      <c r="C156" s="213"/>
      <c r="D156" s="215"/>
      <c r="E156" s="216"/>
      <c r="F156" s="216"/>
      <c r="G156" s="216"/>
      <c r="H156" s="187"/>
      <c r="I156" s="187"/>
      <c r="J156" s="216"/>
      <c r="K156" s="216"/>
      <c r="L156" s="216"/>
      <c r="M156" s="216"/>
      <c r="N156" s="216"/>
      <c r="O156" s="216"/>
      <c r="P156" s="216"/>
    </row>
    <row r="157" spans="1:16" ht="12.75">
      <c r="A157" s="213"/>
      <c r="B157" s="214"/>
      <c r="C157" s="213"/>
      <c r="D157" s="215"/>
      <c r="E157" s="216"/>
      <c r="F157" s="216"/>
      <c r="G157" s="216"/>
      <c r="H157" s="187"/>
      <c r="I157" s="187"/>
      <c r="J157" s="216"/>
      <c r="K157" s="216"/>
      <c r="L157" s="216"/>
      <c r="M157" s="216"/>
      <c r="N157" s="216"/>
      <c r="O157" s="216"/>
      <c r="P157" s="216"/>
    </row>
    <row r="158" spans="1:16" ht="12.75">
      <c r="A158" s="213"/>
      <c r="B158" s="214"/>
      <c r="C158" s="213"/>
      <c r="D158" s="215"/>
      <c r="E158" s="216"/>
      <c r="F158" s="216"/>
      <c r="G158" s="216"/>
      <c r="H158" s="187"/>
      <c r="I158" s="187"/>
      <c r="J158" s="216"/>
      <c r="K158" s="216"/>
      <c r="L158" s="216"/>
      <c r="M158" s="216"/>
      <c r="N158" s="216"/>
      <c r="O158" s="216"/>
      <c r="P158" s="216"/>
    </row>
    <row r="159" spans="1:16" ht="12.75">
      <c r="A159" s="213"/>
      <c r="B159" s="214"/>
      <c r="C159" s="213"/>
      <c r="D159" s="215"/>
      <c r="E159" s="216"/>
      <c r="F159" s="216"/>
      <c r="G159" s="216"/>
      <c r="H159" s="187"/>
      <c r="I159" s="187"/>
      <c r="J159" s="216"/>
      <c r="K159" s="216"/>
      <c r="L159" s="216"/>
      <c r="M159" s="216"/>
      <c r="N159" s="216"/>
      <c r="O159" s="216"/>
      <c r="P159" s="216"/>
    </row>
    <row r="160" spans="1:16" ht="12.75">
      <c r="A160" s="213"/>
      <c r="B160" s="214"/>
      <c r="C160" s="213"/>
      <c r="D160" s="215"/>
      <c r="E160" s="216"/>
      <c r="F160" s="216"/>
      <c r="G160" s="216"/>
      <c r="H160" s="187"/>
      <c r="I160" s="187"/>
      <c r="J160" s="216"/>
      <c r="K160" s="216"/>
      <c r="L160" s="216"/>
      <c r="M160" s="216"/>
      <c r="N160" s="216"/>
      <c r="O160" s="216"/>
      <c r="P160" s="216"/>
    </row>
    <row r="161" spans="1:16" ht="12.75">
      <c r="A161" s="213"/>
      <c r="B161" s="214"/>
      <c r="C161" s="213"/>
      <c r="D161" s="215"/>
      <c r="E161" s="216"/>
      <c r="F161" s="216"/>
      <c r="G161" s="216"/>
      <c r="H161" s="187"/>
      <c r="I161" s="187"/>
      <c r="J161" s="216"/>
      <c r="K161" s="216"/>
      <c r="L161" s="216"/>
      <c r="M161" s="216"/>
      <c r="N161" s="216"/>
      <c r="O161" s="216"/>
      <c r="P161" s="216"/>
    </row>
    <row r="162" spans="1:16" ht="12.75">
      <c r="A162" s="213"/>
      <c r="B162" s="214"/>
      <c r="C162" s="213"/>
      <c r="D162" s="215"/>
      <c r="E162" s="216"/>
      <c r="F162" s="216"/>
      <c r="G162" s="216"/>
      <c r="H162" s="187"/>
      <c r="I162" s="187"/>
      <c r="J162" s="216"/>
      <c r="K162" s="216"/>
      <c r="L162" s="216"/>
      <c r="M162" s="216"/>
      <c r="N162" s="216"/>
      <c r="O162" s="216"/>
      <c r="P162" s="216"/>
    </row>
    <row r="163" spans="1:16" ht="12.75">
      <c r="A163" s="213"/>
      <c r="B163" s="214"/>
      <c r="C163" s="213"/>
      <c r="D163" s="215"/>
      <c r="E163" s="216"/>
      <c r="F163" s="216"/>
      <c r="G163" s="216"/>
      <c r="H163" s="187"/>
      <c r="I163" s="187"/>
      <c r="J163" s="216"/>
      <c r="K163" s="216"/>
      <c r="L163" s="216"/>
      <c r="M163" s="216"/>
      <c r="N163" s="216"/>
      <c r="O163" s="216"/>
      <c r="P163" s="216"/>
    </row>
    <row r="164" spans="1:16" ht="12.75">
      <c r="A164" s="213"/>
      <c r="B164" s="214"/>
      <c r="C164" s="213"/>
      <c r="D164" s="215"/>
      <c r="E164" s="216"/>
      <c r="F164" s="216"/>
      <c r="G164" s="216"/>
      <c r="H164" s="187"/>
      <c r="I164" s="187"/>
      <c r="J164" s="216"/>
      <c r="K164" s="216"/>
      <c r="L164" s="216"/>
      <c r="M164" s="216"/>
      <c r="N164" s="216"/>
      <c r="O164" s="216"/>
      <c r="P164" s="216"/>
    </row>
    <row r="165" spans="1:16" ht="12.75">
      <c r="A165" s="213"/>
      <c r="B165" s="214"/>
      <c r="C165" s="213"/>
      <c r="D165" s="215"/>
      <c r="E165" s="216"/>
      <c r="F165" s="216"/>
      <c r="G165" s="216"/>
      <c r="H165" s="187"/>
      <c r="I165" s="187"/>
      <c r="J165" s="216"/>
      <c r="K165" s="216"/>
      <c r="L165" s="216"/>
      <c r="M165" s="216"/>
      <c r="N165" s="216"/>
      <c r="O165" s="216"/>
      <c r="P165" s="216"/>
    </row>
    <row r="166" spans="1:16" ht="12.75">
      <c r="A166" s="213"/>
      <c r="B166" s="214"/>
      <c r="C166" s="213"/>
      <c r="D166" s="215"/>
      <c r="E166" s="216"/>
      <c r="F166" s="216"/>
      <c r="G166" s="216"/>
      <c r="H166" s="187"/>
      <c r="I166" s="187"/>
      <c r="J166" s="216"/>
      <c r="K166" s="216"/>
      <c r="L166" s="216"/>
      <c r="M166" s="216"/>
      <c r="N166" s="216"/>
      <c r="O166" s="216"/>
      <c r="P166" s="216"/>
    </row>
    <row r="167" spans="1:16" ht="12.75">
      <c r="A167" s="213"/>
      <c r="B167" s="214"/>
      <c r="C167" s="213"/>
      <c r="D167" s="215"/>
      <c r="E167" s="216"/>
      <c r="F167" s="216"/>
      <c r="G167" s="216"/>
      <c r="H167" s="187"/>
      <c r="I167" s="187"/>
      <c r="J167" s="216"/>
      <c r="K167" s="216"/>
      <c r="L167" s="216"/>
      <c r="M167" s="216"/>
      <c r="N167" s="216"/>
      <c r="O167" s="216"/>
      <c r="P167" s="216"/>
    </row>
    <row r="168" spans="1:16" ht="12.75">
      <c r="A168" s="213"/>
      <c r="B168" s="214"/>
      <c r="C168" s="213"/>
      <c r="D168" s="215"/>
      <c r="E168" s="216"/>
      <c r="F168" s="216"/>
      <c r="G168" s="216"/>
      <c r="H168" s="187"/>
      <c r="I168" s="187"/>
      <c r="J168" s="216"/>
      <c r="K168" s="216"/>
      <c r="L168" s="216"/>
      <c r="M168" s="216"/>
      <c r="N168" s="216"/>
      <c r="O168" s="216"/>
      <c r="P168" s="216"/>
    </row>
    <row r="169" spans="1:16" ht="12.75">
      <c r="A169" s="213"/>
      <c r="B169" s="214"/>
      <c r="C169" s="213"/>
      <c r="D169" s="215"/>
      <c r="E169" s="216"/>
      <c r="F169" s="216"/>
      <c r="G169" s="216"/>
      <c r="H169" s="187"/>
      <c r="I169" s="187"/>
      <c r="J169" s="216"/>
      <c r="K169" s="216"/>
      <c r="L169" s="216"/>
      <c r="M169" s="216"/>
      <c r="N169" s="216"/>
      <c r="O169" s="216"/>
      <c r="P169" s="216"/>
    </row>
    <row r="170" spans="1:16" ht="12.75">
      <c r="A170" s="213"/>
      <c r="B170" s="214"/>
      <c r="C170" s="213"/>
      <c r="D170" s="215"/>
      <c r="E170" s="216"/>
      <c r="F170" s="216"/>
      <c r="G170" s="216"/>
      <c r="H170" s="187"/>
      <c r="I170" s="187"/>
      <c r="J170" s="216"/>
      <c r="K170" s="216"/>
      <c r="L170" s="216"/>
      <c r="M170" s="216"/>
      <c r="N170" s="216"/>
      <c r="O170" s="216"/>
      <c r="P170" s="216"/>
    </row>
    <row r="171" spans="1:16" ht="12.75">
      <c r="A171" s="213"/>
      <c r="B171" s="214"/>
      <c r="C171" s="213"/>
      <c r="D171" s="215"/>
      <c r="E171" s="216"/>
      <c r="F171" s="216"/>
      <c r="G171" s="216"/>
      <c r="H171" s="187"/>
      <c r="I171" s="187"/>
      <c r="J171" s="216"/>
      <c r="K171" s="216"/>
      <c r="L171" s="216"/>
      <c r="M171" s="216"/>
      <c r="N171" s="216"/>
      <c r="O171" s="216"/>
      <c r="P171" s="216"/>
    </row>
    <row r="172" spans="1:16" ht="12.75">
      <c r="A172" s="213"/>
      <c r="B172" s="214"/>
      <c r="C172" s="213"/>
      <c r="D172" s="215"/>
      <c r="E172" s="216"/>
      <c r="F172" s="216"/>
      <c r="G172" s="216"/>
      <c r="H172" s="187"/>
      <c r="I172" s="187"/>
      <c r="J172" s="216"/>
      <c r="K172" s="216"/>
      <c r="L172" s="216"/>
      <c r="M172" s="216"/>
      <c r="N172" s="216"/>
      <c r="O172" s="216"/>
      <c r="P172" s="216"/>
    </row>
    <row r="173" spans="1:16" ht="12.75">
      <c r="A173" s="213"/>
      <c r="B173" s="214"/>
      <c r="C173" s="213"/>
      <c r="D173" s="215"/>
      <c r="E173" s="216"/>
      <c r="F173" s="216"/>
      <c r="G173" s="216"/>
      <c r="H173" s="187"/>
      <c r="I173" s="187"/>
      <c r="J173" s="216"/>
      <c r="K173" s="216"/>
      <c r="L173" s="216"/>
      <c r="M173" s="216"/>
      <c r="N173" s="216"/>
      <c r="O173" s="216"/>
      <c r="P173" s="216"/>
    </row>
    <row r="174" spans="1:16" ht="12.75">
      <c r="A174" s="213"/>
      <c r="B174" s="214"/>
      <c r="C174" s="213"/>
      <c r="D174" s="215"/>
      <c r="E174" s="216"/>
      <c r="F174" s="216"/>
      <c r="G174" s="216"/>
      <c r="H174" s="187"/>
      <c r="I174" s="187"/>
      <c r="J174" s="216"/>
      <c r="K174" s="216"/>
      <c r="L174" s="216"/>
      <c r="M174" s="216"/>
      <c r="N174" s="216"/>
      <c r="O174" s="216"/>
      <c r="P174" s="216"/>
    </row>
    <row r="175" spans="1:16" ht="12.75">
      <c r="A175" s="213"/>
      <c r="B175" s="214"/>
      <c r="C175" s="213"/>
      <c r="D175" s="215"/>
      <c r="E175" s="216"/>
      <c r="F175" s="216"/>
      <c r="G175" s="216"/>
      <c r="H175" s="187"/>
      <c r="I175" s="187"/>
      <c r="J175" s="216"/>
      <c r="K175" s="216"/>
      <c r="L175" s="216"/>
      <c r="M175" s="216"/>
      <c r="N175" s="216"/>
      <c r="O175" s="216"/>
      <c r="P175" s="216"/>
    </row>
    <row r="176" spans="1:16" ht="12.75">
      <c r="A176" s="213"/>
      <c r="B176" s="214"/>
      <c r="C176" s="213"/>
      <c r="D176" s="215"/>
      <c r="E176" s="216"/>
      <c r="F176" s="216"/>
      <c r="G176" s="216"/>
      <c r="H176" s="187"/>
      <c r="I176" s="187"/>
      <c r="J176" s="216"/>
      <c r="K176" s="216"/>
      <c r="L176" s="216"/>
      <c r="M176" s="216"/>
      <c r="N176" s="216"/>
      <c r="O176" s="216"/>
      <c r="P176" s="216"/>
    </row>
    <row r="177" spans="1:16" ht="12.75">
      <c r="A177" s="213"/>
      <c r="B177" s="214"/>
      <c r="C177" s="213"/>
      <c r="D177" s="215"/>
      <c r="E177" s="216"/>
      <c r="F177" s="216"/>
      <c r="G177" s="216"/>
      <c r="H177" s="187"/>
      <c r="I177" s="187"/>
      <c r="J177" s="216"/>
      <c r="K177" s="216"/>
      <c r="L177" s="216"/>
      <c r="M177" s="216"/>
      <c r="N177" s="216"/>
      <c r="O177" s="216"/>
      <c r="P177" s="216"/>
    </row>
    <row r="178" spans="1:16" ht="12.75">
      <c r="A178" s="213"/>
      <c r="B178" s="214"/>
      <c r="C178" s="213"/>
      <c r="D178" s="215"/>
      <c r="E178" s="216"/>
      <c r="F178" s="216"/>
      <c r="G178" s="216"/>
      <c r="H178" s="187"/>
      <c r="I178" s="187"/>
      <c r="J178" s="216"/>
      <c r="K178" s="216"/>
      <c r="L178" s="216"/>
      <c r="M178" s="216"/>
      <c r="N178" s="216"/>
      <c r="O178" s="216"/>
      <c r="P178" s="216"/>
    </row>
    <row r="179" spans="1:16" ht="12.75">
      <c r="A179" s="213"/>
      <c r="B179" s="214"/>
      <c r="C179" s="213"/>
      <c r="D179" s="215"/>
      <c r="E179" s="216"/>
      <c r="F179" s="216"/>
      <c r="G179" s="216"/>
      <c r="H179" s="187"/>
      <c r="I179" s="187"/>
      <c r="J179" s="216"/>
      <c r="K179" s="216"/>
      <c r="L179" s="216"/>
      <c r="M179" s="216"/>
      <c r="N179" s="216"/>
      <c r="O179" s="216"/>
      <c r="P179" s="216"/>
    </row>
    <row r="180" spans="1:16" ht="12.75">
      <c r="A180" s="213"/>
      <c r="B180" s="214"/>
      <c r="C180" s="213"/>
      <c r="D180" s="215"/>
      <c r="E180" s="216"/>
      <c r="F180" s="216"/>
      <c r="G180" s="216"/>
      <c r="H180" s="187"/>
      <c r="I180" s="187"/>
      <c r="J180" s="216"/>
      <c r="K180" s="216"/>
      <c r="L180" s="216"/>
      <c r="M180" s="216"/>
      <c r="N180" s="216"/>
      <c r="O180" s="216"/>
      <c r="P180" s="216"/>
    </row>
  </sheetData>
  <sheetProtection selectLockedCells="1" selectUnlockedCells="1"/>
  <mergeCells count="20">
    <mergeCell ref="A7:B7"/>
    <mergeCell ref="C50:G50"/>
    <mergeCell ref="K50:P50"/>
    <mergeCell ref="I52:J52"/>
    <mergeCell ref="F10:K10"/>
    <mergeCell ref="L10:P10"/>
    <mergeCell ref="C44:K44"/>
    <mergeCell ref="C45:K45"/>
    <mergeCell ref="D10:D11"/>
    <mergeCell ref="E10:E11"/>
    <mergeCell ref="A49:B49"/>
    <mergeCell ref="I49:J49"/>
    <mergeCell ref="A1:P1"/>
    <mergeCell ref="A2:P2"/>
    <mergeCell ref="M8:N8"/>
    <mergeCell ref="O8:P8"/>
    <mergeCell ref="G9:H9"/>
    <mergeCell ref="A10:A11"/>
    <mergeCell ref="B10:B11"/>
    <mergeCell ref="C10:C11"/>
  </mergeCells>
  <printOptions horizontalCentered="1"/>
  <pageMargins left="0.3298611111111111" right="0.33055555555555555" top="0.7875" bottom="0.5902777777777778" header="0.5118055555555555" footer="0.19652777777777777"/>
  <pageSetup firstPageNumber="1" useFirstPageNumber="1" fitToHeight="3" fitToWidth="1" horizontalDpi="300" verticalDpi="300" orientation="landscape" paperSize="9" scale="62" r:id="rId1"/>
  <headerFooter alignWithMargins="0">
    <oddFooter>&amp;R&amp;P</oddFooter>
  </headerFooter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showZeros="0" view="pageBreakPreview" zoomScale="70" zoomScaleNormal="55" zoomScaleSheetLayoutView="70" zoomScalePageLayoutView="0" workbookViewId="0" topLeftCell="A1">
      <selection activeCell="A11" sqref="A11:IV11"/>
    </sheetView>
  </sheetViews>
  <sheetFormatPr defaultColWidth="8.796875" defaultRowHeight="15.75"/>
  <cols>
    <col min="1" max="1" width="11.796875" style="39" customWidth="1"/>
    <col min="2" max="2" width="33.8984375" style="39" customWidth="1"/>
    <col min="3" max="3" width="17.296875" style="39" customWidth="1"/>
    <col min="4" max="16384" width="8.796875" style="40" customWidth="1"/>
  </cols>
  <sheetData>
    <row r="1" ht="15">
      <c r="C1" s="39" t="s">
        <v>0</v>
      </c>
    </row>
    <row r="2" spans="1:3" ht="27.75" customHeight="1">
      <c r="A2" s="401" t="s">
        <v>1</v>
      </c>
      <c r="B2" s="401"/>
      <c r="C2" s="401"/>
    </row>
    <row r="3" spans="1:3" ht="15">
      <c r="A3" s="401" t="s">
        <v>2</v>
      </c>
      <c r="B3" s="401"/>
      <c r="C3" s="401"/>
    </row>
    <row r="4" ht="19.5" customHeight="1">
      <c r="C4" s="39" t="s">
        <v>3</v>
      </c>
    </row>
    <row r="5" spans="1:3" ht="23.25" customHeight="1">
      <c r="A5" s="401" t="s">
        <v>35</v>
      </c>
      <c r="B5" s="401"/>
      <c r="C5" s="401"/>
    </row>
    <row r="6" spans="1:3" ht="23.25" customHeight="1">
      <c r="A6" s="41"/>
      <c r="B6" s="41"/>
      <c r="C6" s="41"/>
    </row>
    <row r="7" spans="1:3" ht="18">
      <c r="A7" s="402" t="s">
        <v>36</v>
      </c>
      <c r="B7" s="402"/>
      <c r="C7" s="402"/>
    </row>
    <row r="8" spans="1:3" ht="55.5" customHeight="1">
      <c r="A8" s="403" t="str">
        <f>'1-1 (1)'!A3</f>
        <v>Būves nosaukums:     Tautas nama "Kalngravas" rekonstrukcija- 2. kārta </v>
      </c>
      <c r="B8" s="403"/>
      <c r="C8" s="403"/>
    </row>
    <row r="9" ht="15">
      <c r="A9" s="42" t="str">
        <f>'1-1 (1)'!A5</f>
        <v>Būves adrese:             Kalngravas 1, Sarkaņu pagasts, Madonas novads</v>
      </c>
    </row>
    <row r="10" spans="1:3" ht="31.5" customHeight="1">
      <c r="A10" s="42" t="str">
        <f>'1-1 (1)'!A6</f>
        <v>Pasūtījuma Nr.:      </v>
      </c>
      <c r="B10" s="404" t="s">
        <v>845</v>
      </c>
      <c r="C10" s="405"/>
    </row>
    <row r="11" spans="1:8" s="4" customFormat="1" ht="25.5" customHeight="1">
      <c r="A11" s="391" t="s">
        <v>852</v>
      </c>
      <c r="B11" s="391"/>
      <c r="C11" s="386"/>
      <c r="D11" s="386"/>
      <c r="E11" s="386"/>
      <c r="F11" s="386"/>
      <c r="G11" s="386"/>
      <c r="H11" s="386"/>
    </row>
    <row r="12" spans="1:3" ht="15">
      <c r="A12" s="42"/>
      <c r="C12" s="41" t="s">
        <v>37</v>
      </c>
    </row>
    <row r="13" spans="1:3" s="44" customFormat="1" ht="15">
      <c r="A13" s="20" t="s">
        <v>4</v>
      </c>
      <c r="B13" s="20" t="s">
        <v>5</v>
      </c>
      <c r="C13" s="20" t="s">
        <v>6</v>
      </c>
    </row>
    <row r="14" spans="1:3" s="44" customFormat="1" ht="15">
      <c r="A14" s="20"/>
      <c r="B14" s="20"/>
      <c r="C14" s="20"/>
    </row>
    <row r="15" spans="1:3" s="44" customFormat="1" ht="24.75" customHeight="1">
      <c r="A15" s="20">
        <v>1</v>
      </c>
      <c r="B15" s="45" t="s">
        <v>38</v>
      </c>
      <c r="C15" s="46"/>
    </row>
    <row r="16" spans="1:3" s="44" customFormat="1" ht="24.75" customHeight="1">
      <c r="A16" s="20"/>
      <c r="B16" s="47" t="s">
        <v>848</v>
      </c>
      <c r="C16" s="20"/>
    </row>
    <row r="17" spans="1:3" s="44" customFormat="1" ht="24.75" customHeight="1">
      <c r="A17" s="20"/>
      <c r="B17" s="48" t="s">
        <v>850</v>
      </c>
      <c r="C17" s="46">
        <f>C15</f>
        <v>0</v>
      </c>
    </row>
    <row r="18" spans="1:3" s="44" customFormat="1" ht="21" customHeight="1">
      <c r="A18" s="398" t="s">
        <v>39</v>
      </c>
      <c r="B18" s="399"/>
      <c r="C18" s="384"/>
    </row>
    <row r="19" spans="1:3" s="44" customFormat="1" ht="27.75" customHeight="1">
      <c r="A19" s="400" t="s">
        <v>40</v>
      </c>
      <c r="B19" s="400"/>
      <c r="C19" s="385"/>
    </row>
    <row r="20" spans="1:3" s="44" customFormat="1" ht="15.75">
      <c r="A20" s="50"/>
      <c r="B20" s="50"/>
      <c r="C20" s="49"/>
    </row>
    <row r="21" spans="1:3" s="44" customFormat="1" ht="15.75">
      <c r="A21" s="50"/>
      <c r="B21" s="50"/>
      <c r="C21" s="49"/>
    </row>
    <row r="22" spans="1:3" s="44" customFormat="1" ht="15.75">
      <c r="A22" s="50"/>
      <c r="B22" s="50"/>
      <c r="C22" s="49"/>
    </row>
    <row r="23" spans="1:3" ht="15">
      <c r="A23" s="43" t="s">
        <v>9</v>
      </c>
      <c r="B23" s="32" t="s">
        <v>839</v>
      </c>
      <c r="C23" s="43"/>
    </row>
    <row r="24" spans="1:2" ht="21" customHeight="1">
      <c r="A24" s="42"/>
      <c r="B24" s="51" t="s">
        <v>10</v>
      </c>
    </row>
    <row r="25" ht="15">
      <c r="A25" s="42"/>
    </row>
    <row r="26" spans="1:3" ht="15">
      <c r="A26" s="43" t="s">
        <v>72</v>
      </c>
      <c r="B26" s="32" t="s">
        <v>839</v>
      </c>
      <c r="C26" s="43"/>
    </row>
    <row r="27" spans="1:2" ht="15">
      <c r="A27" s="42"/>
      <c r="B27" s="51" t="s">
        <v>10</v>
      </c>
    </row>
    <row r="28" spans="1:2" ht="15">
      <c r="A28" s="42" t="s">
        <v>11</v>
      </c>
      <c r="B28" s="42"/>
    </row>
  </sheetData>
  <sheetProtection selectLockedCells="1" selectUnlockedCells="1"/>
  <mergeCells count="9">
    <mergeCell ref="A18:B18"/>
    <mergeCell ref="A19:B19"/>
    <mergeCell ref="A2:C2"/>
    <mergeCell ref="A3:C3"/>
    <mergeCell ref="A5:C5"/>
    <mergeCell ref="A7:C7"/>
    <mergeCell ref="A8:C8"/>
    <mergeCell ref="B10:C10"/>
    <mergeCell ref="A11:B11"/>
  </mergeCells>
  <printOptions/>
  <pageMargins left="1.0798611111111112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879"/>
  <sheetViews>
    <sheetView showZeros="0" view="pageBreakPreview" zoomScale="70" zoomScaleNormal="55" zoomScaleSheetLayoutView="70" zoomScalePageLayoutView="0" workbookViewId="0" topLeftCell="A1">
      <selection activeCell="C16" sqref="C16:K16"/>
    </sheetView>
  </sheetViews>
  <sheetFormatPr defaultColWidth="33.296875" defaultRowHeight="15.75"/>
  <cols>
    <col min="1" max="2" width="6.69921875" style="93" customWidth="1"/>
    <col min="3" max="3" width="26.59765625" style="52" customWidth="1"/>
    <col min="4" max="4" width="6.8984375" style="123" customWidth="1"/>
    <col min="5" max="5" width="8.3984375" style="93" customWidth="1"/>
    <col min="6" max="6" width="7.19921875" style="52" customWidth="1"/>
    <col min="7" max="7" width="8" style="52" customWidth="1"/>
    <col min="8" max="8" width="8.59765625" style="96" customWidth="1"/>
    <col min="9" max="9" width="8.3984375" style="96" customWidth="1"/>
    <col min="10" max="11" width="10.09765625" style="52" customWidth="1"/>
    <col min="12" max="12" width="9.19921875" style="52" customWidth="1"/>
    <col min="13" max="13" width="10.3984375" style="52" customWidth="1"/>
    <col min="14" max="14" width="10.796875" style="52" customWidth="1"/>
    <col min="15" max="15" width="11.19921875" style="52" customWidth="1"/>
    <col min="16" max="16" width="12.3984375" style="52" customWidth="1"/>
    <col min="17" max="32" width="10.19921875" style="52" customWidth="1"/>
    <col min="33" max="16384" width="33.296875" style="52" customWidth="1"/>
  </cols>
  <sheetData>
    <row r="1" spans="1:16" ht="19.5" customHeight="1">
      <c r="A1" s="408" t="s">
        <v>41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</row>
    <row r="2" spans="1:16" ht="19.5" customHeight="1">
      <c r="A2" s="409" t="s">
        <v>42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</row>
    <row r="3" spans="1:16" ht="19.5" customHeight="1">
      <c r="A3" s="53" t="s">
        <v>43</v>
      </c>
      <c r="B3" s="53"/>
      <c r="C3" s="54"/>
      <c r="D3" s="55"/>
      <c r="E3" s="55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19.5" customHeight="1">
      <c r="A4" s="53" t="s">
        <v>44</v>
      </c>
      <c r="B4" s="53"/>
      <c r="C4" s="54"/>
      <c r="D4" s="55"/>
      <c r="E4" s="55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ht="19.5" customHeight="1">
      <c r="A5" s="53" t="s">
        <v>45</v>
      </c>
      <c r="B5" s="53"/>
      <c r="C5" s="54"/>
      <c r="D5" s="55"/>
      <c r="E5" s="55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6" ht="19.5" customHeight="1">
      <c r="A6" s="53" t="s">
        <v>843</v>
      </c>
      <c r="B6" s="53"/>
      <c r="C6" s="57" t="s">
        <v>845</v>
      </c>
      <c r="D6" s="55"/>
      <c r="E6" s="55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8" s="4" customFormat="1" ht="25.5" customHeight="1">
      <c r="A7" s="391" t="s">
        <v>852</v>
      </c>
      <c r="B7" s="391"/>
      <c r="C7" s="386"/>
      <c r="D7" s="386"/>
      <c r="E7" s="386"/>
      <c r="F7" s="386"/>
      <c r="G7" s="386"/>
      <c r="H7" s="386"/>
    </row>
    <row r="8" spans="1:16" ht="19.5" customHeight="1">
      <c r="A8" s="53" t="s">
        <v>46</v>
      </c>
      <c r="B8" s="53"/>
      <c r="C8" s="54"/>
      <c r="D8" s="55"/>
      <c r="E8" s="55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</row>
    <row r="9" spans="1:16" ht="19.5" customHeight="1">
      <c r="A9" s="53"/>
      <c r="B9" s="53"/>
      <c r="C9" s="54"/>
      <c r="D9" s="55"/>
      <c r="E9" s="55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</row>
    <row r="10" spans="1:16" ht="19.5" customHeight="1">
      <c r="A10" s="58"/>
      <c r="B10" s="59"/>
      <c r="C10" s="54"/>
      <c r="D10" s="55"/>
      <c r="E10" s="52"/>
      <c r="F10" s="56"/>
      <c r="G10" s="56"/>
      <c r="H10" s="56"/>
      <c r="I10" s="56"/>
      <c r="J10" s="56"/>
      <c r="K10" s="60"/>
      <c r="L10" s="56"/>
      <c r="M10" s="410" t="s">
        <v>47</v>
      </c>
      <c r="N10" s="410"/>
      <c r="O10" s="411">
        <f>P17</f>
        <v>0</v>
      </c>
      <c r="P10" s="411"/>
    </row>
    <row r="11" spans="1:16" ht="19.5" customHeight="1">
      <c r="A11" s="53"/>
      <c r="B11" s="53"/>
      <c r="C11" s="53"/>
      <c r="D11" s="54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</row>
    <row r="12" spans="1:16" ht="19.5" customHeight="1">
      <c r="A12" s="413" t="s">
        <v>4</v>
      </c>
      <c r="B12" s="413" t="s">
        <v>48</v>
      </c>
      <c r="C12" s="414" t="s">
        <v>49</v>
      </c>
      <c r="D12" s="413" t="s">
        <v>50</v>
      </c>
      <c r="E12" s="413" t="s">
        <v>51</v>
      </c>
      <c r="F12" s="417" t="s">
        <v>52</v>
      </c>
      <c r="G12" s="417"/>
      <c r="H12" s="417"/>
      <c r="I12" s="417"/>
      <c r="J12" s="417"/>
      <c r="K12" s="417"/>
      <c r="L12" s="417" t="s">
        <v>53</v>
      </c>
      <c r="M12" s="417"/>
      <c r="N12" s="417"/>
      <c r="O12" s="417"/>
      <c r="P12" s="417"/>
    </row>
    <row r="13" spans="1:16" ht="105.75" customHeight="1">
      <c r="A13" s="413"/>
      <c r="B13" s="413"/>
      <c r="C13" s="414"/>
      <c r="D13" s="413"/>
      <c r="E13" s="413"/>
      <c r="F13" s="21" t="s">
        <v>54</v>
      </c>
      <c r="G13" s="21" t="s">
        <v>55</v>
      </c>
      <c r="H13" s="21" t="s">
        <v>56</v>
      </c>
      <c r="I13" s="21" t="s">
        <v>57</v>
      </c>
      <c r="J13" s="21" t="s">
        <v>58</v>
      </c>
      <c r="K13" s="21" t="s">
        <v>59</v>
      </c>
      <c r="L13" s="21" t="s">
        <v>60</v>
      </c>
      <c r="M13" s="21" t="s">
        <v>56</v>
      </c>
      <c r="N13" s="21" t="s">
        <v>57</v>
      </c>
      <c r="O13" s="21" t="s">
        <v>58</v>
      </c>
      <c r="P13" s="21" t="s">
        <v>61</v>
      </c>
    </row>
    <row r="14" spans="1:16" ht="39.75" customHeight="1">
      <c r="A14" s="61">
        <v>1</v>
      </c>
      <c r="B14" s="62" t="s">
        <v>62</v>
      </c>
      <c r="C14" s="63" t="s">
        <v>840</v>
      </c>
      <c r="D14" s="64" t="s">
        <v>841</v>
      </c>
      <c r="E14" s="65">
        <v>1</v>
      </c>
      <c r="F14" s="66"/>
      <c r="G14" s="67"/>
      <c r="H14" s="68"/>
      <c r="I14" s="67"/>
      <c r="J14" s="67"/>
      <c r="K14" s="67"/>
      <c r="L14" s="67"/>
      <c r="M14" s="67"/>
      <c r="N14" s="67"/>
      <c r="O14" s="67"/>
      <c r="P14" s="67"/>
    </row>
    <row r="15" spans="1:16" ht="30" customHeight="1">
      <c r="A15" s="69"/>
      <c r="B15" s="70"/>
      <c r="C15" s="71" t="s">
        <v>7</v>
      </c>
      <c r="D15" s="70"/>
      <c r="E15" s="72"/>
      <c r="F15" s="71"/>
      <c r="G15" s="71"/>
      <c r="H15" s="71"/>
      <c r="I15" s="71"/>
      <c r="J15" s="71"/>
      <c r="K15" s="71"/>
      <c r="L15" s="73"/>
      <c r="M15" s="73"/>
      <c r="N15" s="73"/>
      <c r="O15" s="73"/>
      <c r="P15" s="73"/>
    </row>
    <row r="16" spans="1:16" ht="30" customHeight="1">
      <c r="A16" s="74"/>
      <c r="B16" s="74"/>
      <c r="C16" s="418" t="s">
        <v>849</v>
      </c>
      <c r="D16" s="418"/>
      <c r="E16" s="418"/>
      <c r="F16" s="418"/>
      <c r="G16" s="418"/>
      <c r="H16" s="418"/>
      <c r="I16" s="418"/>
      <c r="J16" s="418"/>
      <c r="K16" s="418"/>
      <c r="L16" s="75"/>
      <c r="M16" s="75"/>
      <c r="N16" s="75"/>
      <c r="O16" s="75"/>
      <c r="P16" s="76"/>
    </row>
    <row r="17" spans="1:16" ht="30" customHeight="1">
      <c r="A17" s="74"/>
      <c r="B17" s="74"/>
      <c r="C17" s="419" t="s">
        <v>71</v>
      </c>
      <c r="D17" s="419"/>
      <c r="E17" s="419"/>
      <c r="F17" s="419"/>
      <c r="G17" s="419"/>
      <c r="H17" s="419"/>
      <c r="I17" s="419"/>
      <c r="J17" s="419"/>
      <c r="K17" s="419"/>
      <c r="L17" s="77"/>
      <c r="M17" s="77"/>
      <c r="N17" s="77"/>
      <c r="O17" s="77"/>
      <c r="P17" s="77"/>
    </row>
    <row r="18" spans="1:16" s="81" customFormat="1" ht="15">
      <c r="A18" s="78"/>
      <c r="B18" s="78"/>
      <c r="C18" s="78"/>
      <c r="D18" s="79"/>
      <c r="E18" s="80"/>
      <c r="F18" s="80"/>
      <c r="G18" s="80"/>
      <c r="J18" s="80"/>
      <c r="K18" s="80"/>
      <c r="L18" s="80"/>
      <c r="M18" s="80"/>
      <c r="N18" s="80"/>
      <c r="O18" s="80"/>
      <c r="P18" s="80"/>
    </row>
    <row r="19" spans="1:16" s="81" customFormat="1" ht="15">
      <c r="A19" s="78"/>
      <c r="B19" s="78"/>
      <c r="C19" s="78"/>
      <c r="D19" s="79"/>
      <c r="E19" s="80"/>
      <c r="F19" s="80"/>
      <c r="G19" s="80"/>
      <c r="J19" s="80"/>
      <c r="K19" s="80"/>
      <c r="L19" s="80"/>
      <c r="M19" s="80"/>
      <c r="N19" s="80"/>
      <c r="O19" s="80"/>
      <c r="P19" s="80"/>
    </row>
    <row r="20" spans="1:16" s="81" customFormat="1" ht="15">
      <c r="A20" s="78"/>
      <c r="B20" s="78"/>
      <c r="C20" s="78"/>
      <c r="D20" s="79"/>
      <c r="E20" s="80"/>
      <c r="F20" s="80"/>
      <c r="G20" s="80"/>
      <c r="J20" s="80"/>
      <c r="K20" s="80"/>
      <c r="L20" s="80"/>
      <c r="M20" s="80"/>
      <c r="N20" s="80"/>
      <c r="O20" s="80"/>
      <c r="P20" s="80"/>
    </row>
    <row r="21" spans="1:16" s="81" customFormat="1" ht="22.5" customHeight="1">
      <c r="A21" s="406" t="s">
        <v>9</v>
      </c>
      <c r="B21" s="406"/>
      <c r="C21" s="83"/>
      <c r="E21" s="84"/>
      <c r="F21" s="85"/>
      <c r="G21" s="85"/>
      <c r="H21" s="86"/>
      <c r="I21" s="407" t="s">
        <v>72</v>
      </c>
      <c r="J21" s="407"/>
      <c r="K21" s="85"/>
      <c r="L21" s="85"/>
      <c r="M21" s="85"/>
      <c r="N21" s="84"/>
      <c r="O21" s="85"/>
      <c r="P21" s="85"/>
    </row>
    <row r="22" spans="1:16" s="81" customFormat="1" ht="12.75" customHeight="1">
      <c r="A22" s="82"/>
      <c r="B22" s="82"/>
      <c r="C22" s="415" t="s">
        <v>10</v>
      </c>
      <c r="D22" s="415"/>
      <c r="E22" s="415"/>
      <c r="F22" s="415"/>
      <c r="G22" s="415"/>
      <c r="I22" s="55"/>
      <c r="J22" s="55"/>
      <c r="K22" s="416" t="s">
        <v>10</v>
      </c>
      <c r="L22" s="416"/>
      <c r="M22" s="416"/>
      <c r="N22" s="416"/>
      <c r="O22" s="416"/>
      <c r="P22" s="416"/>
    </row>
    <row r="23" spans="1:16" s="81" customFormat="1" ht="15">
      <c r="A23" s="82"/>
      <c r="B23" s="82"/>
      <c r="C23" s="82"/>
      <c r="D23" s="79"/>
      <c r="E23" s="80"/>
      <c r="F23" s="80"/>
      <c r="G23" s="80"/>
      <c r="J23" s="80"/>
      <c r="K23" s="80"/>
      <c r="L23" s="80"/>
      <c r="M23" s="80"/>
      <c r="N23" s="80"/>
      <c r="O23" s="80"/>
      <c r="P23" s="80"/>
    </row>
    <row r="24" spans="1:16" s="81" customFormat="1" ht="22.5" customHeight="1">
      <c r="A24" s="87"/>
      <c r="B24" s="82"/>
      <c r="C24" s="87"/>
      <c r="D24" s="88"/>
      <c r="E24" s="80"/>
      <c r="F24" s="80"/>
      <c r="G24" s="80"/>
      <c r="I24" s="406" t="s">
        <v>11</v>
      </c>
      <c r="J24" s="406"/>
      <c r="K24" s="89"/>
      <c r="L24" s="80"/>
      <c r="M24" s="80"/>
      <c r="N24" s="80"/>
      <c r="O24" s="80"/>
      <c r="P24" s="80"/>
    </row>
    <row r="25" spans="1:16" s="81" customFormat="1" ht="15">
      <c r="A25" s="78"/>
      <c r="B25" s="78"/>
      <c r="C25" s="78"/>
      <c r="D25" s="79"/>
      <c r="E25" s="80"/>
      <c r="F25" s="80"/>
      <c r="G25" s="80"/>
      <c r="J25" s="80"/>
      <c r="K25" s="80"/>
      <c r="L25" s="80"/>
      <c r="M25" s="80"/>
      <c r="N25" s="80"/>
      <c r="O25" s="80"/>
      <c r="P25" s="80"/>
    </row>
    <row r="26" spans="1:16" s="81" customFormat="1" ht="15">
      <c r="A26" s="78"/>
      <c r="B26" s="78"/>
      <c r="C26" s="78"/>
      <c r="D26" s="79"/>
      <c r="E26" s="80"/>
      <c r="F26" s="80"/>
      <c r="G26" s="80"/>
      <c r="J26" s="80"/>
      <c r="K26" s="80"/>
      <c r="L26" s="80"/>
      <c r="M26" s="80"/>
      <c r="N26" s="80"/>
      <c r="O26" s="80"/>
      <c r="P26" s="80"/>
    </row>
    <row r="27" spans="1:16" s="81" customFormat="1" ht="15">
      <c r="A27" s="78"/>
      <c r="B27" s="78"/>
      <c r="C27" s="78"/>
      <c r="D27" s="79"/>
      <c r="E27" s="80"/>
      <c r="F27" s="80"/>
      <c r="G27" s="80"/>
      <c r="J27" s="80"/>
      <c r="K27" s="80"/>
      <c r="L27" s="80"/>
      <c r="M27" s="80"/>
      <c r="N27" s="80"/>
      <c r="O27" s="80"/>
      <c r="P27" s="80"/>
    </row>
    <row r="28" spans="1:16" s="81" customFormat="1" ht="15">
      <c r="A28" s="78"/>
      <c r="B28" s="78"/>
      <c r="C28" s="78"/>
      <c r="D28" s="79"/>
      <c r="E28" s="80"/>
      <c r="F28" s="80"/>
      <c r="G28" s="80"/>
      <c r="J28" s="80"/>
      <c r="K28" s="80"/>
      <c r="L28" s="80"/>
      <c r="M28" s="80"/>
      <c r="N28" s="80"/>
      <c r="O28" s="80"/>
      <c r="P28" s="80"/>
    </row>
    <row r="29" spans="1:16" s="81" customFormat="1" ht="15">
      <c r="A29" s="78"/>
      <c r="B29" s="78"/>
      <c r="C29" s="78"/>
      <c r="D29" s="79"/>
      <c r="E29" s="80"/>
      <c r="F29" s="80"/>
      <c r="G29" s="80"/>
      <c r="J29" s="80"/>
      <c r="K29" s="80"/>
      <c r="L29" s="80"/>
      <c r="M29" s="80"/>
      <c r="N29" s="80"/>
      <c r="O29" s="80"/>
      <c r="P29" s="80"/>
    </row>
    <row r="30" spans="1:16" s="81" customFormat="1" ht="15">
      <c r="A30" s="78"/>
      <c r="B30" s="78"/>
      <c r="C30" s="78"/>
      <c r="D30" s="79"/>
      <c r="E30" s="80"/>
      <c r="F30" s="80"/>
      <c r="G30" s="80"/>
      <c r="J30" s="80"/>
      <c r="K30" s="80"/>
      <c r="L30" s="80"/>
      <c r="M30" s="80"/>
      <c r="N30" s="80"/>
      <c r="O30" s="80"/>
      <c r="P30" s="80"/>
    </row>
    <row r="31" spans="1:16" s="81" customFormat="1" ht="15">
      <c r="A31" s="78"/>
      <c r="B31" s="78"/>
      <c r="C31" s="78"/>
      <c r="D31" s="79"/>
      <c r="E31" s="80"/>
      <c r="F31" s="80"/>
      <c r="G31" s="80"/>
      <c r="J31" s="80"/>
      <c r="K31" s="80"/>
      <c r="L31" s="80"/>
      <c r="M31" s="80"/>
      <c r="N31" s="80"/>
      <c r="O31" s="80"/>
      <c r="P31" s="80"/>
    </row>
    <row r="32" spans="1:16" s="81" customFormat="1" ht="15">
      <c r="A32" s="78"/>
      <c r="B32" s="78"/>
      <c r="C32" s="78"/>
      <c r="D32" s="79"/>
      <c r="E32" s="80"/>
      <c r="F32" s="80"/>
      <c r="G32" s="80"/>
      <c r="J32" s="80"/>
      <c r="K32" s="80"/>
      <c r="L32" s="80"/>
      <c r="M32" s="80"/>
      <c r="N32" s="80"/>
      <c r="O32" s="80"/>
      <c r="P32" s="80"/>
    </row>
    <row r="33" spans="1:16" s="81" customFormat="1" ht="15">
      <c r="A33" s="78"/>
      <c r="B33" s="78"/>
      <c r="C33" s="78"/>
      <c r="D33" s="79"/>
      <c r="E33" s="80"/>
      <c r="F33" s="80"/>
      <c r="G33" s="80"/>
      <c r="J33" s="80"/>
      <c r="K33" s="80"/>
      <c r="L33" s="80"/>
      <c r="M33" s="80"/>
      <c r="N33" s="80"/>
      <c r="O33" s="80"/>
      <c r="P33" s="80"/>
    </row>
    <row r="34" spans="1:16" s="81" customFormat="1" ht="15">
      <c r="A34" s="78"/>
      <c r="B34" s="78"/>
      <c r="C34" s="78"/>
      <c r="D34" s="79"/>
      <c r="E34" s="80"/>
      <c r="F34" s="80"/>
      <c r="G34" s="80"/>
      <c r="J34" s="80"/>
      <c r="K34" s="80"/>
      <c r="L34" s="80"/>
      <c r="M34" s="80"/>
      <c r="N34" s="80"/>
      <c r="O34" s="80"/>
      <c r="P34" s="80"/>
    </row>
    <row r="35" spans="1:16" s="81" customFormat="1" ht="15">
      <c r="A35" s="78"/>
      <c r="B35" s="78"/>
      <c r="C35" s="78"/>
      <c r="D35" s="79"/>
      <c r="E35" s="80"/>
      <c r="F35" s="80"/>
      <c r="G35" s="80"/>
      <c r="J35" s="80"/>
      <c r="K35" s="80"/>
      <c r="L35" s="80"/>
      <c r="M35" s="80"/>
      <c r="N35" s="80"/>
      <c r="O35" s="80"/>
      <c r="P35" s="80"/>
    </row>
    <row r="36" spans="1:16" s="81" customFormat="1" ht="15">
      <c r="A36" s="78"/>
      <c r="B36" s="78"/>
      <c r="C36" s="78"/>
      <c r="D36" s="79"/>
      <c r="E36" s="80"/>
      <c r="F36" s="80"/>
      <c r="G36" s="80"/>
      <c r="J36" s="80"/>
      <c r="K36" s="80"/>
      <c r="L36" s="80"/>
      <c r="M36" s="80"/>
      <c r="N36" s="80"/>
      <c r="O36" s="80"/>
      <c r="P36" s="80"/>
    </row>
    <row r="37" spans="1:16" s="81" customFormat="1" ht="15">
      <c r="A37" s="78"/>
      <c r="B37" s="78"/>
      <c r="C37" s="78"/>
      <c r="D37" s="79"/>
      <c r="E37" s="80"/>
      <c r="F37" s="80"/>
      <c r="G37" s="80"/>
      <c r="J37" s="80"/>
      <c r="K37" s="80"/>
      <c r="L37" s="80"/>
      <c r="M37" s="80"/>
      <c r="N37" s="80"/>
      <c r="O37" s="80"/>
      <c r="P37" s="80"/>
    </row>
    <row r="38" spans="1:16" s="81" customFormat="1" ht="15">
      <c r="A38" s="78"/>
      <c r="B38" s="78"/>
      <c r="C38" s="78"/>
      <c r="D38" s="79"/>
      <c r="E38" s="80"/>
      <c r="F38" s="80"/>
      <c r="G38" s="80"/>
      <c r="J38" s="80"/>
      <c r="K38" s="80"/>
      <c r="L38" s="80"/>
      <c r="M38" s="80"/>
      <c r="N38" s="80"/>
      <c r="O38" s="80"/>
      <c r="P38" s="80"/>
    </row>
    <row r="39" spans="1:16" s="81" customFormat="1" ht="15">
      <c r="A39" s="78"/>
      <c r="B39" s="78"/>
      <c r="C39" s="78"/>
      <c r="D39" s="79"/>
      <c r="E39" s="80"/>
      <c r="F39" s="80"/>
      <c r="G39" s="80"/>
      <c r="J39" s="80"/>
      <c r="K39" s="80"/>
      <c r="L39" s="80"/>
      <c r="M39" s="80"/>
      <c r="N39" s="80"/>
      <c r="O39" s="80"/>
      <c r="P39" s="80"/>
    </row>
    <row r="40" spans="1:16" s="81" customFormat="1" ht="15">
      <c r="A40" s="78"/>
      <c r="B40" s="78"/>
      <c r="C40" s="78"/>
      <c r="D40" s="79"/>
      <c r="E40" s="80"/>
      <c r="F40" s="80"/>
      <c r="G40" s="80"/>
      <c r="J40" s="80"/>
      <c r="K40" s="80"/>
      <c r="L40" s="80"/>
      <c r="M40" s="80"/>
      <c r="N40" s="80"/>
      <c r="O40" s="80"/>
      <c r="P40" s="80"/>
    </row>
    <row r="41" spans="1:16" s="81" customFormat="1" ht="15">
      <c r="A41" s="78"/>
      <c r="B41" s="78"/>
      <c r="C41" s="78"/>
      <c r="D41" s="79"/>
      <c r="E41" s="80"/>
      <c r="F41" s="80"/>
      <c r="G41" s="80"/>
      <c r="J41" s="80"/>
      <c r="K41" s="80"/>
      <c r="L41" s="80"/>
      <c r="M41" s="80"/>
      <c r="N41" s="80"/>
      <c r="O41" s="80"/>
      <c r="P41" s="80"/>
    </row>
    <row r="42" spans="1:16" s="81" customFormat="1" ht="15">
      <c r="A42" s="78"/>
      <c r="B42" s="78"/>
      <c r="C42" s="78"/>
      <c r="D42" s="79"/>
      <c r="E42" s="80"/>
      <c r="F42" s="80"/>
      <c r="G42" s="80"/>
      <c r="J42" s="80"/>
      <c r="K42" s="80"/>
      <c r="L42" s="80"/>
      <c r="M42" s="80"/>
      <c r="N42" s="80"/>
      <c r="O42" s="80"/>
      <c r="P42" s="80"/>
    </row>
    <row r="43" spans="1:16" s="81" customFormat="1" ht="15">
      <c r="A43" s="78"/>
      <c r="B43" s="78"/>
      <c r="C43" s="78"/>
      <c r="D43" s="79"/>
      <c r="E43" s="80"/>
      <c r="F43" s="80"/>
      <c r="G43" s="80"/>
      <c r="J43" s="80"/>
      <c r="K43" s="80"/>
      <c r="L43" s="80"/>
      <c r="M43" s="80"/>
      <c r="N43" s="80"/>
      <c r="O43" s="80"/>
      <c r="P43" s="80"/>
    </row>
    <row r="44" spans="1:16" ht="12.75">
      <c r="A44" s="90"/>
      <c r="B44" s="90"/>
      <c r="C44" s="90"/>
      <c r="D44" s="91"/>
      <c r="E44" s="92"/>
      <c r="F44" s="92"/>
      <c r="G44" s="92"/>
      <c r="H44" s="52"/>
      <c r="I44" s="52"/>
      <c r="J44" s="92"/>
      <c r="K44" s="92"/>
      <c r="L44" s="92"/>
      <c r="M44" s="92"/>
      <c r="N44" s="92"/>
      <c r="O44" s="92"/>
      <c r="P44" s="92"/>
    </row>
    <row r="45" spans="1:16" ht="12.75">
      <c r="A45" s="90"/>
      <c r="B45" s="90"/>
      <c r="C45" s="90"/>
      <c r="D45" s="91"/>
      <c r="E45" s="92"/>
      <c r="F45" s="92"/>
      <c r="G45" s="92"/>
      <c r="H45" s="52"/>
      <c r="I45" s="52"/>
      <c r="J45" s="92"/>
      <c r="K45" s="92"/>
      <c r="L45" s="92"/>
      <c r="M45" s="92"/>
      <c r="N45" s="92"/>
      <c r="O45" s="92"/>
      <c r="P45" s="92"/>
    </row>
    <row r="46" spans="1:16" ht="12.75">
      <c r="A46" s="90"/>
      <c r="B46" s="90"/>
      <c r="C46" s="90"/>
      <c r="D46" s="91"/>
      <c r="E46" s="92"/>
      <c r="F46" s="92"/>
      <c r="G46" s="92"/>
      <c r="H46" s="52"/>
      <c r="I46" s="52"/>
      <c r="J46" s="92"/>
      <c r="K46" s="92"/>
      <c r="L46" s="92"/>
      <c r="M46" s="92"/>
      <c r="N46" s="92"/>
      <c r="O46" s="92"/>
      <c r="P46" s="92"/>
    </row>
    <row r="47" spans="1:16" ht="12.75">
      <c r="A47" s="90"/>
      <c r="B47" s="90"/>
      <c r="C47" s="90"/>
      <c r="D47" s="91"/>
      <c r="E47" s="92"/>
      <c r="F47" s="92"/>
      <c r="G47" s="92"/>
      <c r="H47" s="52"/>
      <c r="I47" s="52"/>
      <c r="J47" s="92"/>
      <c r="K47" s="92"/>
      <c r="L47" s="92"/>
      <c r="M47" s="92"/>
      <c r="N47" s="92"/>
      <c r="O47" s="92"/>
      <c r="P47" s="92"/>
    </row>
    <row r="48" spans="1:16" ht="12.75">
      <c r="A48" s="90"/>
      <c r="B48" s="90"/>
      <c r="C48" s="90"/>
      <c r="D48" s="91"/>
      <c r="E48" s="92"/>
      <c r="F48" s="92"/>
      <c r="G48" s="92"/>
      <c r="H48" s="52"/>
      <c r="I48" s="52"/>
      <c r="J48" s="92"/>
      <c r="K48" s="92"/>
      <c r="L48" s="92"/>
      <c r="M48" s="92"/>
      <c r="N48" s="92"/>
      <c r="O48" s="92"/>
      <c r="P48" s="92"/>
    </row>
    <row r="49" spans="1:16" ht="12.75">
      <c r="A49" s="90"/>
      <c r="B49" s="90"/>
      <c r="C49" s="90"/>
      <c r="D49" s="91"/>
      <c r="E49" s="92"/>
      <c r="F49" s="92"/>
      <c r="G49" s="92"/>
      <c r="H49" s="52"/>
      <c r="I49" s="52"/>
      <c r="J49" s="92"/>
      <c r="K49" s="92"/>
      <c r="L49" s="92"/>
      <c r="M49" s="92"/>
      <c r="N49" s="92"/>
      <c r="O49" s="92"/>
      <c r="P49" s="92"/>
    </row>
    <row r="50" spans="1:16" ht="12.75">
      <c r="A50" s="90"/>
      <c r="B50" s="90"/>
      <c r="C50" s="90"/>
      <c r="D50" s="91"/>
      <c r="E50" s="92"/>
      <c r="F50" s="92"/>
      <c r="G50" s="92"/>
      <c r="H50" s="52"/>
      <c r="I50" s="52"/>
      <c r="J50" s="92"/>
      <c r="K50" s="92"/>
      <c r="L50" s="92"/>
      <c r="M50" s="92"/>
      <c r="N50" s="92"/>
      <c r="O50" s="92"/>
      <c r="P50" s="92"/>
    </row>
    <row r="51" spans="1:16" ht="12.75">
      <c r="A51" s="90"/>
      <c r="B51" s="90"/>
      <c r="C51" s="90"/>
      <c r="D51" s="91"/>
      <c r="E51" s="92"/>
      <c r="F51" s="92"/>
      <c r="G51" s="92"/>
      <c r="H51" s="52"/>
      <c r="I51" s="52"/>
      <c r="J51" s="92"/>
      <c r="K51" s="92"/>
      <c r="L51" s="92"/>
      <c r="M51" s="92"/>
      <c r="N51" s="92"/>
      <c r="O51" s="92"/>
      <c r="P51" s="92"/>
    </row>
    <row r="52" spans="1:16" ht="12.75">
      <c r="A52" s="90"/>
      <c r="B52" s="90"/>
      <c r="C52" s="90"/>
      <c r="D52" s="91"/>
      <c r="E52" s="92"/>
      <c r="F52" s="92"/>
      <c r="G52" s="92"/>
      <c r="H52" s="52"/>
      <c r="I52" s="52"/>
      <c r="J52" s="92"/>
      <c r="K52" s="92"/>
      <c r="L52" s="92"/>
      <c r="M52" s="92"/>
      <c r="N52" s="92"/>
      <c r="O52" s="92"/>
      <c r="P52" s="92"/>
    </row>
    <row r="53" spans="1:16" ht="12.75">
      <c r="A53" s="90"/>
      <c r="B53" s="90"/>
      <c r="C53" s="90"/>
      <c r="D53" s="91"/>
      <c r="E53" s="92"/>
      <c r="F53" s="92"/>
      <c r="G53" s="92"/>
      <c r="H53" s="52"/>
      <c r="I53" s="52"/>
      <c r="J53" s="92"/>
      <c r="K53" s="92"/>
      <c r="L53" s="92"/>
      <c r="M53" s="92"/>
      <c r="N53" s="92"/>
      <c r="O53" s="92"/>
      <c r="P53" s="92"/>
    </row>
    <row r="54" spans="1:16" ht="12.75">
      <c r="A54" s="90"/>
      <c r="B54" s="90"/>
      <c r="C54" s="90"/>
      <c r="D54" s="91"/>
      <c r="E54" s="92"/>
      <c r="F54" s="92"/>
      <c r="G54" s="92"/>
      <c r="H54" s="52"/>
      <c r="I54" s="52"/>
      <c r="J54" s="92"/>
      <c r="K54" s="92"/>
      <c r="L54" s="92"/>
      <c r="M54" s="92"/>
      <c r="N54" s="92"/>
      <c r="O54" s="92"/>
      <c r="P54" s="92"/>
    </row>
    <row r="55" spans="1:16" ht="12.75">
      <c r="A55" s="90"/>
      <c r="B55" s="90"/>
      <c r="C55" s="90"/>
      <c r="D55" s="91"/>
      <c r="E55" s="92"/>
      <c r="F55" s="92"/>
      <c r="G55" s="92"/>
      <c r="H55" s="52"/>
      <c r="I55" s="52"/>
      <c r="J55" s="92"/>
      <c r="K55" s="92"/>
      <c r="L55" s="92"/>
      <c r="M55" s="92"/>
      <c r="N55" s="92"/>
      <c r="O55" s="92"/>
      <c r="P55" s="92"/>
    </row>
    <row r="56" spans="1:16" ht="12.75">
      <c r="A56" s="90"/>
      <c r="B56" s="90"/>
      <c r="C56" s="90"/>
      <c r="D56" s="91"/>
      <c r="E56" s="92"/>
      <c r="F56" s="92"/>
      <c r="G56" s="92"/>
      <c r="H56" s="52"/>
      <c r="I56" s="52"/>
      <c r="J56" s="92"/>
      <c r="K56" s="92"/>
      <c r="L56" s="92"/>
      <c r="M56" s="92"/>
      <c r="N56" s="92"/>
      <c r="O56" s="92"/>
      <c r="P56" s="92"/>
    </row>
    <row r="57" spans="1:16" ht="12.75">
      <c r="A57" s="90"/>
      <c r="B57" s="90"/>
      <c r="C57" s="90"/>
      <c r="D57" s="91"/>
      <c r="E57" s="92"/>
      <c r="F57" s="92"/>
      <c r="G57" s="92"/>
      <c r="H57" s="52"/>
      <c r="I57" s="52"/>
      <c r="J57" s="92"/>
      <c r="K57" s="92"/>
      <c r="L57" s="92"/>
      <c r="M57" s="92"/>
      <c r="N57" s="92"/>
      <c r="O57" s="92"/>
      <c r="P57" s="92"/>
    </row>
    <row r="58" spans="1:16" ht="12.75">
      <c r="A58" s="90"/>
      <c r="B58" s="90"/>
      <c r="C58" s="90"/>
      <c r="D58" s="91"/>
      <c r="E58" s="92"/>
      <c r="F58" s="92"/>
      <c r="G58" s="92"/>
      <c r="H58" s="52"/>
      <c r="I58" s="52"/>
      <c r="J58" s="92"/>
      <c r="K58" s="92"/>
      <c r="L58" s="92"/>
      <c r="M58" s="92"/>
      <c r="N58" s="92"/>
      <c r="O58" s="92"/>
      <c r="P58" s="92"/>
    </row>
    <row r="59" spans="1:16" ht="12.75">
      <c r="A59" s="90"/>
      <c r="B59" s="90"/>
      <c r="C59" s="90"/>
      <c r="D59" s="91"/>
      <c r="E59" s="92"/>
      <c r="F59" s="92"/>
      <c r="G59" s="92"/>
      <c r="H59" s="52"/>
      <c r="I59" s="52"/>
      <c r="J59" s="92"/>
      <c r="K59" s="92"/>
      <c r="L59" s="92"/>
      <c r="M59" s="92"/>
      <c r="N59" s="92"/>
      <c r="O59" s="92"/>
      <c r="P59" s="92"/>
    </row>
    <row r="60" spans="1:16" ht="12.75">
      <c r="A60" s="90"/>
      <c r="B60" s="90"/>
      <c r="C60" s="90"/>
      <c r="D60" s="91"/>
      <c r="E60" s="92"/>
      <c r="F60" s="92"/>
      <c r="G60" s="92"/>
      <c r="H60" s="52"/>
      <c r="I60" s="52"/>
      <c r="J60" s="92"/>
      <c r="K60" s="92"/>
      <c r="L60" s="92"/>
      <c r="M60" s="92"/>
      <c r="N60" s="92"/>
      <c r="O60" s="92"/>
      <c r="P60" s="92"/>
    </row>
    <row r="61" spans="1:16" ht="12.75">
      <c r="A61" s="90"/>
      <c r="B61" s="90"/>
      <c r="C61" s="90"/>
      <c r="D61" s="91"/>
      <c r="E61" s="92"/>
      <c r="F61" s="92"/>
      <c r="G61" s="92"/>
      <c r="H61" s="52"/>
      <c r="I61" s="52"/>
      <c r="J61" s="92"/>
      <c r="K61" s="92"/>
      <c r="L61" s="92"/>
      <c r="M61" s="92"/>
      <c r="N61" s="92"/>
      <c r="O61" s="92"/>
      <c r="P61" s="92"/>
    </row>
    <row r="62" spans="1:16" ht="12.75">
      <c r="A62" s="90"/>
      <c r="B62" s="90"/>
      <c r="C62" s="90"/>
      <c r="D62" s="91"/>
      <c r="E62" s="92"/>
      <c r="F62" s="92"/>
      <c r="G62" s="92"/>
      <c r="H62" s="52"/>
      <c r="I62" s="52"/>
      <c r="J62" s="92"/>
      <c r="K62" s="92"/>
      <c r="L62" s="92"/>
      <c r="M62" s="92"/>
      <c r="N62" s="92"/>
      <c r="O62" s="92"/>
      <c r="P62" s="92"/>
    </row>
    <row r="63" spans="1:16" ht="12.75">
      <c r="A63" s="90"/>
      <c r="B63" s="90"/>
      <c r="C63" s="90"/>
      <c r="D63" s="91"/>
      <c r="E63" s="92"/>
      <c r="F63" s="92"/>
      <c r="G63" s="92"/>
      <c r="H63" s="52"/>
      <c r="I63" s="52"/>
      <c r="J63" s="92"/>
      <c r="K63" s="92"/>
      <c r="L63" s="92"/>
      <c r="M63" s="92"/>
      <c r="N63" s="92"/>
      <c r="O63" s="92"/>
      <c r="P63" s="92"/>
    </row>
    <row r="64" spans="1:16" ht="12.75">
      <c r="A64" s="90"/>
      <c r="B64" s="90"/>
      <c r="C64" s="90"/>
      <c r="D64" s="91"/>
      <c r="E64" s="92"/>
      <c r="F64" s="92"/>
      <c r="G64" s="92"/>
      <c r="H64" s="52"/>
      <c r="I64" s="52"/>
      <c r="J64" s="92"/>
      <c r="K64" s="92"/>
      <c r="L64" s="92"/>
      <c r="M64" s="92"/>
      <c r="N64" s="92"/>
      <c r="O64" s="92"/>
      <c r="P64" s="92"/>
    </row>
    <row r="65" spans="1:16" ht="12.75">
      <c r="A65" s="90"/>
      <c r="B65" s="90"/>
      <c r="C65" s="90"/>
      <c r="D65" s="91"/>
      <c r="E65" s="92"/>
      <c r="F65" s="92"/>
      <c r="G65" s="92"/>
      <c r="H65" s="52"/>
      <c r="I65" s="52"/>
      <c r="J65" s="92"/>
      <c r="K65" s="92"/>
      <c r="L65" s="92"/>
      <c r="M65" s="92"/>
      <c r="N65" s="92"/>
      <c r="O65" s="92"/>
      <c r="P65" s="92"/>
    </row>
    <row r="66" spans="1:16" ht="12.75">
      <c r="A66" s="90"/>
      <c r="B66" s="90"/>
      <c r="C66" s="90"/>
      <c r="D66" s="91"/>
      <c r="E66" s="92"/>
      <c r="F66" s="92"/>
      <c r="G66" s="92"/>
      <c r="H66" s="52"/>
      <c r="I66" s="52"/>
      <c r="J66" s="92"/>
      <c r="K66" s="92"/>
      <c r="L66" s="92"/>
      <c r="M66" s="92"/>
      <c r="N66" s="92"/>
      <c r="O66" s="92"/>
      <c r="P66" s="92"/>
    </row>
    <row r="67" spans="1:16" ht="12.75">
      <c r="A67" s="90"/>
      <c r="B67" s="90"/>
      <c r="C67" s="90"/>
      <c r="D67" s="91"/>
      <c r="E67" s="92"/>
      <c r="F67" s="92"/>
      <c r="G67" s="92"/>
      <c r="H67" s="52"/>
      <c r="I67" s="52"/>
      <c r="J67" s="92"/>
      <c r="K67" s="92"/>
      <c r="L67" s="92"/>
      <c r="M67" s="92"/>
      <c r="N67" s="92"/>
      <c r="O67" s="92"/>
      <c r="P67" s="92"/>
    </row>
    <row r="68" spans="1:16" ht="12.75">
      <c r="A68" s="90"/>
      <c r="B68" s="90"/>
      <c r="C68" s="90"/>
      <c r="D68" s="91"/>
      <c r="E68" s="92"/>
      <c r="F68" s="92"/>
      <c r="G68" s="92"/>
      <c r="H68" s="52"/>
      <c r="I68" s="52"/>
      <c r="J68" s="92"/>
      <c r="K68" s="92"/>
      <c r="L68" s="92"/>
      <c r="M68" s="92"/>
      <c r="N68" s="92"/>
      <c r="O68" s="92"/>
      <c r="P68" s="92"/>
    </row>
    <row r="69" spans="1:16" ht="12.75">
      <c r="A69" s="90"/>
      <c r="B69" s="90"/>
      <c r="C69" s="90"/>
      <c r="D69" s="91"/>
      <c r="E69" s="92"/>
      <c r="F69" s="92"/>
      <c r="G69" s="92"/>
      <c r="H69" s="52"/>
      <c r="I69" s="52"/>
      <c r="J69" s="92"/>
      <c r="K69" s="92"/>
      <c r="L69" s="92"/>
      <c r="M69" s="92"/>
      <c r="N69" s="92"/>
      <c r="O69" s="92"/>
      <c r="P69" s="92"/>
    </row>
    <row r="70" spans="1:16" ht="12.75">
      <c r="A70" s="90"/>
      <c r="B70" s="90"/>
      <c r="C70" s="90"/>
      <c r="D70" s="91"/>
      <c r="E70" s="92"/>
      <c r="F70" s="92"/>
      <c r="G70" s="92"/>
      <c r="H70" s="52"/>
      <c r="I70" s="52"/>
      <c r="J70" s="92"/>
      <c r="K70" s="92"/>
      <c r="L70" s="92"/>
      <c r="M70" s="92"/>
      <c r="N70" s="92"/>
      <c r="O70" s="92"/>
      <c r="P70" s="92"/>
    </row>
    <row r="71" spans="1:16" ht="12.75">
      <c r="A71" s="90"/>
      <c r="B71" s="90"/>
      <c r="C71" s="90"/>
      <c r="D71" s="91"/>
      <c r="E71" s="92"/>
      <c r="F71" s="92"/>
      <c r="G71" s="92"/>
      <c r="H71" s="52"/>
      <c r="I71" s="52"/>
      <c r="J71" s="92"/>
      <c r="K71" s="92"/>
      <c r="L71" s="92"/>
      <c r="M71" s="92"/>
      <c r="N71" s="92"/>
      <c r="O71" s="92"/>
      <c r="P71" s="92"/>
    </row>
    <row r="72" spans="1:16" ht="12.75">
      <c r="A72" s="90"/>
      <c r="B72" s="90"/>
      <c r="C72" s="90"/>
      <c r="D72" s="91"/>
      <c r="E72" s="92"/>
      <c r="F72" s="92"/>
      <c r="G72" s="92"/>
      <c r="H72" s="52"/>
      <c r="I72" s="52"/>
      <c r="J72" s="92"/>
      <c r="K72" s="92"/>
      <c r="L72" s="92"/>
      <c r="M72" s="92"/>
      <c r="N72" s="92"/>
      <c r="O72" s="92"/>
      <c r="P72" s="92"/>
    </row>
    <row r="73" spans="1:16" ht="12.75">
      <c r="A73" s="90"/>
      <c r="B73" s="90"/>
      <c r="C73" s="90"/>
      <c r="D73" s="91"/>
      <c r="E73" s="92"/>
      <c r="F73" s="92"/>
      <c r="G73" s="92"/>
      <c r="H73" s="52"/>
      <c r="I73" s="52"/>
      <c r="J73" s="92"/>
      <c r="K73" s="92"/>
      <c r="L73" s="92"/>
      <c r="M73" s="92"/>
      <c r="N73" s="92"/>
      <c r="O73" s="92"/>
      <c r="P73" s="92"/>
    </row>
    <row r="74" spans="1:16" ht="12.75">
      <c r="A74" s="90"/>
      <c r="B74" s="90"/>
      <c r="C74" s="90"/>
      <c r="D74" s="91"/>
      <c r="E74" s="92"/>
      <c r="F74" s="92"/>
      <c r="G74" s="92"/>
      <c r="H74" s="52"/>
      <c r="I74" s="52"/>
      <c r="J74" s="92"/>
      <c r="K74" s="92"/>
      <c r="L74" s="92"/>
      <c r="M74" s="92"/>
      <c r="N74" s="92"/>
      <c r="O74" s="92"/>
      <c r="P74" s="92"/>
    </row>
    <row r="75" spans="1:16" ht="12.75">
      <c r="A75" s="90"/>
      <c r="B75" s="90"/>
      <c r="C75" s="90"/>
      <c r="D75" s="91"/>
      <c r="E75" s="92"/>
      <c r="F75" s="92"/>
      <c r="G75" s="92"/>
      <c r="H75" s="52"/>
      <c r="I75" s="52"/>
      <c r="J75" s="92"/>
      <c r="K75" s="92"/>
      <c r="L75" s="92"/>
      <c r="M75" s="92"/>
      <c r="N75" s="92"/>
      <c r="O75" s="92"/>
      <c r="P75" s="92"/>
    </row>
    <row r="76" spans="1:16" ht="12.75">
      <c r="A76" s="90"/>
      <c r="B76" s="90"/>
      <c r="C76" s="90"/>
      <c r="D76" s="91"/>
      <c r="E76" s="92"/>
      <c r="F76" s="92"/>
      <c r="G76" s="92"/>
      <c r="H76" s="52"/>
      <c r="I76" s="52"/>
      <c r="J76" s="92"/>
      <c r="K76" s="92"/>
      <c r="L76" s="92"/>
      <c r="M76" s="92"/>
      <c r="N76" s="92"/>
      <c r="O76" s="92"/>
      <c r="P76" s="92"/>
    </row>
    <row r="77" spans="1:16" ht="12.75">
      <c r="A77" s="90"/>
      <c r="B77" s="90"/>
      <c r="C77" s="90"/>
      <c r="D77" s="91"/>
      <c r="E77" s="92"/>
      <c r="F77" s="92"/>
      <c r="G77" s="92"/>
      <c r="H77" s="52"/>
      <c r="I77" s="52"/>
      <c r="J77" s="92"/>
      <c r="K77" s="92"/>
      <c r="L77" s="92"/>
      <c r="M77" s="92"/>
      <c r="N77" s="92"/>
      <c r="O77" s="92"/>
      <c r="P77" s="92"/>
    </row>
    <row r="78" spans="1:16" ht="12.75">
      <c r="A78" s="90"/>
      <c r="B78" s="90"/>
      <c r="C78" s="90"/>
      <c r="D78" s="91"/>
      <c r="E78" s="92"/>
      <c r="F78" s="92"/>
      <c r="G78" s="92"/>
      <c r="H78" s="52"/>
      <c r="I78" s="52"/>
      <c r="J78" s="92"/>
      <c r="K78" s="92"/>
      <c r="L78" s="92"/>
      <c r="M78" s="92"/>
      <c r="N78" s="92"/>
      <c r="O78" s="92"/>
      <c r="P78" s="92"/>
    </row>
    <row r="79" spans="1:16" ht="12.75">
      <c r="A79" s="90"/>
      <c r="B79" s="90"/>
      <c r="C79" s="90"/>
      <c r="D79" s="91"/>
      <c r="E79" s="92"/>
      <c r="F79" s="92"/>
      <c r="G79" s="92"/>
      <c r="H79" s="52"/>
      <c r="I79" s="52"/>
      <c r="J79" s="92"/>
      <c r="K79" s="92"/>
      <c r="L79" s="92"/>
      <c r="M79" s="92"/>
      <c r="N79" s="92"/>
      <c r="O79" s="92"/>
      <c r="P79" s="92"/>
    </row>
    <row r="80" spans="1:16" ht="12.75">
      <c r="A80" s="90"/>
      <c r="B80" s="90"/>
      <c r="C80" s="90"/>
      <c r="D80" s="91"/>
      <c r="E80" s="92"/>
      <c r="F80" s="92"/>
      <c r="G80" s="92"/>
      <c r="H80" s="52"/>
      <c r="I80" s="52"/>
      <c r="J80" s="92"/>
      <c r="K80" s="92"/>
      <c r="L80" s="92"/>
      <c r="M80" s="92"/>
      <c r="N80" s="92"/>
      <c r="O80" s="92"/>
      <c r="P80" s="92"/>
    </row>
    <row r="81" spans="1:16" ht="12.75">
      <c r="A81" s="90"/>
      <c r="B81" s="90"/>
      <c r="C81" s="90"/>
      <c r="D81" s="91"/>
      <c r="E81" s="92"/>
      <c r="F81" s="92"/>
      <c r="G81" s="92"/>
      <c r="H81" s="52"/>
      <c r="I81" s="52"/>
      <c r="J81" s="92"/>
      <c r="K81" s="92"/>
      <c r="L81" s="92"/>
      <c r="M81" s="92"/>
      <c r="N81" s="92"/>
      <c r="O81" s="92"/>
      <c r="P81" s="92"/>
    </row>
    <row r="82" spans="1:16" ht="12.75">
      <c r="A82" s="90"/>
      <c r="B82" s="90"/>
      <c r="C82" s="90"/>
      <c r="D82" s="91"/>
      <c r="E82" s="92"/>
      <c r="F82" s="92"/>
      <c r="G82" s="92"/>
      <c r="H82" s="52"/>
      <c r="I82" s="52"/>
      <c r="J82" s="92"/>
      <c r="K82" s="92"/>
      <c r="L82" s="92"/>
      <c r="M82" s="92"/>
      <c r="N82" s="92"/>
      <c r="O82" s="92"/>
      <c r="P82" s="92"/>
    </row>
    <row r="83" spans="1:16" ht="12.75">
      <c r="A83" s="90"/>
      <c r="B83" s="90"/>
      <c r="C83" s="90"/>
      <c r="D83" s="91"/>
      <c r="E83" s="92"/>
      <c r="F83" s="92"/>
      <c r="G83" s="92"/>
      <c r="H83" s="52"/>
      <c r="I83" s="52"/>
      <c r="J83" s="92"/>
      <c r="K83" s="92"/>
      <c r="L83" s="92"/>
      <c r="M83" s="92"/>
      <c r="N83" s="92"/>
      <c r="O83" s="92"/>
      <c r="P83" s="92"/>
    </row>
    <row r="84" spans="1:16" ht="12.75">
      <c r="A84" s="90"/>
      <c r="B84" s="90"/>
      <c r="C84" s="90"/>
      <c r="D84" s="91"/>
      <c r="E84" s="92"/>
      <c r="F84" s="92"/>
      <c r="G84" s="92"/>
      <c r="H84" s="52"/>
      <c r="I84" s="52"/>
      <c r="J84" s="92"/>
      <c r="K84" s="92"/>
      <c r="L84" s="92"/>
      <c r="M84" s="92"/>
      <c r="N84" s="92"/>
      <c r="O84" s="92"/>
      <c r="P84" s="92"/>
    </row>
    <row r="85" spans="1:16" ht="12.75">
      <c r="A85" s="90"/>
      <c r="B85" s="90"/>
      <c r="C85" s="90"/>
      <c r="D85" s="91"/>
      <c r="E85" s="92"/>
      <c r="F85" s="92"/>
      <c r="G85" s="92"/>
      <c r="H85" s="52"/>
      <c r="I85" s="52"/>
      <c r="J85" s="92"/>
      <c r="K85" s="92"/>
      <c r="L85" s="92"/>
      <c r="M85" s="92"/>
      <c r="N85" s="92"/>
      <c r="O85" s="92"/>
      <c r="P85" s="92"/>
    </row>
    <row r="86" spans="1:16" ht="12.75">
      <c r="A86" s="90"/>
      <c r="B86" s="90"/>
      <c r="C86" s="90"/>
      <c r="D86" s="91"/>
      <c r="E86" s="92"/>
      <c r="F86" s="92"/>
      <c r="G86" s="92"/>
      <c r="H86" s="52"/>
      <c r="I86" s="52"/>
      <c r="J86" s="92"/>
      <c r="K86" s="92"/>
      <c r="L86" s="92"/>
      <c r="M86" s="92"/>
      <c r="N86" s="92"/>
      <c r="O86" s="92"/>
      <c r="P86" s="92"/>
    </row>
    <row r="87" spans="1:16" ht="12.75">
      <c r="A87" s="90"/>
      <c r="B87" s="90"/>
      <c r="C87" s="90"/>
      <c r="D87" s="91"/>
      <c r="E87" s="92"/>
      <c r="F87" s="92"/>
      <c r="G87" s="92"/>
      <c r="H87" s="52"/>
      <c r="I87" s="52"/>
      <c r="J87" s="92"/>
      <c r="K87" s="92"/>
      <c r="L87" s="92"/>
      <c r="M87" s="92"/>
      <c r="N87" s="92"/>
      <c r="O87" s="92"/>
      <c r="P87" s="92"/>
    </row>
    <row r="88" spans="1:16" ht="12.75">
      <c r="A88" s="90"/>
      <c r="B88" s="90"/>
      <c r="C88" s="90"/>
      <c r="D88" s="91"/>
      <c r="E88" s="92"/>
      <c r="F88" s="92"/>
      <c r="G88" s="92"/>
      <c r="H88" s="52"/>
      <c r="I88" s="52"/>
      <c r="J88" s="92"/>
      <c r="K88" s="92"/>
      <c r="L88" s="92"/>
      <c r="M88" s="92"/>
      <c r="N88" s="92"/>
      <c r="O88" s="92"/>
      <c r="P88" s="92"/>
    </row>
    <row r="89" spans="1:16" ht="12.75">
      <c r="A89" s="90"/>
      <c r="B89" s="90"/>
      <c r="C89" s="90"/>
      <c r="D89" s="91"/>
      <c r="E89" s="92"/>
      <c r="F89" s="92"/>
      <c r="G89" s="92"/>
      <c r="H89" s="52"/>
      <c r="I89" s="52"/>
      <c r="J89" s="92"/>
      <c r="K89" s="92"/>
      <c r="L89" s="92"/>
      <c r="M89" s="92"/>
      <c r="N89" s="92"/>
      <c r="O89" s="92"/>
      <c r="P89" s="92"/>
    </row>
    <row r="90" spans="1:16" ht="12.75">
      <c r="A90" s="90"/>
      <c r="B90" s="90"/>
      <c r="C90" s="90"/>
      <c r="D90" s="91"/>
      <c r="E90" s="92"/>
      <c r="F90" s="92"/>
      <c r="G90" s="92"/>
      <c r="H90" s="52"/>
      <c r="I90" s="52"/>
      <c r="J90" s="92"/>
      <c r="K90" s="92"/>
      <c r="L90" s="92"/>
      <c r="M90" s="92"/>
      <c r="N90" s="92"/>
      <c r="O90" s="92"/>
      <c r="P90" s="92"/>
    </row>
    <row r="91" spans="1:16" ht="12.75">
      <c r="A91" s="90"/>
      <c r="B91" s="90"/>
      <c r="C91" s="90"/>
      <c r="D91" s="91"/>
      <c r="E91" s="92"/>
      <c r="F91" s="92"/>
      <c r="G91" s="92"/>
      <c r="H91" s="52"/>
      <c r="I91" s="52"/>
      <c r="J91" s="92"/>
      <c r="K91" s="92"/>
      <c r="L91" s="92"/>
      <c r="M91" s="92"/>
      <c r="N91" s="92"/>
      <c r="O91" s="92"/>
      <c r="P91" s="92"/>
    </row>
    <row r="92" spans="1:16" ht="12.75">
      <c r="A92" s="90"/>
      <c r="B92" s="90"/>
      <c r="C92" s="90"/>
      <c r="D92" s="91"/>
      <c r="E92" s="92"/>
      <c r="F92" s="92"/>
      <c r="G92" s="92"/>
      <c r="H92" s="52"/>
      <c r="I92" s="52"/>
      <c r="J92" s="92"/>
      <c r="K92" s="92"/>
      <c r="L92" s="92"/>
      <c r="M92" s="92"/>
      <c r="N92" s="92"/>
      <c r="O92" s="92"/>
      <c r="P92" s="92"/>
    </row>
    <row r="93" spans="1:16" ht="12.75">
      <c r="A93" s="90"/>
      <c r="B93" s="90"/>
      <c r="C93" s="90"/>
      <c r="D93" s="91"/>
      <c r="E93" s="92"/>
      <c r="F93" s="92"/>
      <c r="G93" s="92"/>
      <c r="H93" s="52"/>
      <c r="I93" s="52"/>
      <c r="J93" s="92"/>
      <c r="K93" s="92"/>
      <c r="L93" s="92"/>
      <c r="M93" s="92"/>
      <c r="N93" s="92"/>
      <c r="O93" s="92"/>
      <c r="P93" s="92"/>
    </row>
    <row r="94" spans="1:16" ht="12.75">
      <c r="A94" s="90"/>
      <c r="B94" s="90"/>
      <c r="C94" s="90"/>
      <c r="D94" s="91"/>
      <c r="E94" s="92"/>
      <c r="F94" s="92"/>
      <c r="G94" s="92"/>
      <c r="H94" s="52"/>
      <c r="I94" s="52"/>
      <c r="J94" s="92"/>
      <c r="K94" s="92"/>
      <c r="L94" s="92"/>
      <c r="M94" s="92"/>
      <c r="N94" s="92"/>
      <c r="O94" s="92"/>
      <c r="P94" s="92"/>
    </row>
    <row r="95" spans="1:16" ht="12.75">
      <c r="A95" s="90"/>
      <c r="B95" s="90"/>
      <c r="C95" s="90"/>
      <c r="D95" s="91"/>
      <c r="E95" s="92"/>
      <c r="F95" s="92"/>
      <c r="G95" s="92"/>
      <c r="H95" s="52"/>
      <c r="I95" s="52"/>
      <c r="J95" s="92"/>
      <c r="K95" s="92"/>
      <c r="L95" s="92"/>
      <c r="M95" s="92"/>
      <c r="N95" s="92"/>
      <c r="O95" s="92"/>
      <c r="P95" s="92"/>
    </row>
    <row r="96" spans="1:16" ht="12.75">
      <c r="A96" s="90"/>
      <c r="B96" s="90"/>
      <c r="C96" s="90"/>
      <c r="D96" s="91"/>
      <c r="E96" s="92"/>
      <c r="F96" s="92"/>
      <c r="G96" s="92"/>
      <c r="H96" s="52"/>
      <c r="I96" s="52"/>
      <c r="J96" s="92"/>
      <c r="K96" s="92"/>
      <c r="L96" s="92"/>
      <c r="M96" s="92"/>
      <c r="N96" s="92"/>
      <c r="O96" s="92"/>
      <c r="P96" s="92"/>
    </row>
    <row r="97" spans="1:16" ht="12.75">
      <c r="A97" s="90"/>
      <c r="B97" s="90"/>
      <c r="C97" s="90"/>
      <c r="D97" s="91"/>
      <c r="E97" s="92"/>
      <c r="F97" s="92"/>
      <c r="G97" s="92"/>
      <c r="H97" s="52"/>
      <c r="I97" s="52"/>
      <c r="J97" s="92"/>
      <c r="K97" s="92"/>
      <c r="L97" s="92"/>
      <c r="M97" s="92"/>
      <c r="N97" s="92"/>
      <c r="O97" s="92"/>
      <c r="P97" s="92"/>
    </row>
    <row r="98" spans="1:16" ht="12.75">
      <c r="A98" s="90"/>
      <c r="B98" s="90"/>
      <c r="C98" s="90"/>
      <c r="D98" s="91"/>
      <c r="E98" s="92"/>
      <c r="F98" s="92"/>
      <c r="G98" s="92"/>
      <c r="H98" s="52"/>
      <c r="I98" s="52"/>
      <c r="J98" s="92"/>
      <c r="K98" s="92"/>
      <c r="L98" s="92"/>
      <c r="M98" s="92"/>
      <c r="N98" s="92"/>
      <c r="O98" s="92"/>
      <c r="P98" s="92"/>
    </row>
    <row r="99" spans="1:16" ht="12.75">
      <c r="A99" s="90"/>
      <c r="B99" s="90"/>
      <c r="C99" s="90"/>
      <c r="D99" s="91"/>
      <c r="E99" s="92"/>
      <c r="F99" s="92"/>
      <c r="G99" s="92"/>
      <c r="H99" s="52"/>
      <c r="I99" s="52"/>
      <c r="J99" s="92"/>
      <c r="K99" s="92"/>
      <c r="L99" s="92"/>
      <c r="M99" s="92"/>
      <c r="N99" s="92"/>
      <c r="O99" s="92"/>
      <c r="P99" s="92"/>
    </row>
    <row r="100" spans="1:16" ht="12.75">
      <c r="A100" s="90"/>
      <c r="B100" s="90"/>
      <c r="C100" s="90"/>
      <c r="D100" s="91"/>
      <c r="E100" s="92"/>
      <c r="F100" s="92"/>
      <c r="G100" s="92"/>
      <c r="H100" s="52"/>
      <c r="I100" s="52"/>
      <c r="J100" s="92"/>
      <c r="K100" s="92"/>
      <c r="L100" s="92"/>
      <c r="M100" s="92"/>
      <c r="N100" s="92"/>
      <c r="O100" s="92"/>
      <c r="P100" s="92"/>
    </row>
    <row r="101" spans="1:16" ht="12.75">
      <c r="A101" s="90"/>
      <c r="B101" s="90"/>
      <c r="C101" s="90"/>
      <c r="D101" s="91"/>
      <c r="E101" s="92"/>
      <c r="F101" s="92"/>
      <c r="G101" s="92"/>
      <c r="H101" s="52"/>
      <c r="I101" s="52"/>
      <c r="J101" s="92"/>
      <c r="K101" s="92"/>
      <c r="L101" s="92"/>
      <c r="M101" s="92"/>
      <c r="N101" s="92"/>
      <c r="O101" s="92"/>
      <c r="P101" s="92"/>
    </row>
    <row r="102" spans="1:16" ht="12.75">
      <c r="A102" s="90"/>
      <c r="B102" s="90"/>
      <c r="C102" s="90"/>
      <c r="D102" s="91"/>
      <c r="E102" s="92"/>
      <c r="F102" s="92"/>
      <c r="G102" s="92"/>
      <c r="H102" s="52"/>
      <c r="I102" s="52"/>
      <c r="J102" s="92"/>
      <c r="K102" s="92"/>
      <c r="L102" s="92"/>
      <c r="M102" s="92"/>
      <c r="N102" s="92"/>
      <c r="O102" s="92"/>
      <c r="P102" s="92"/>
    </row>
    <row r="103" spans="1:16" ht="12.75">
      <c r="A103" s="90"/>
      <c r="B103" s="90"/>
      <c r="C103" s="90"/>
      <c r="D103" s="91"/>
      <c r="E103" s="92"/>
      <c r="F103" s="92"/>
      <c r="G103" s="92"/>
      <c r="H103" s="52"/>
      <c r="I103" s="52"/>
      <c r="J103" s="92"/>
      <c r="K103" s="92"/>
      <c r="L103" s="92"/>
      <c r="M103" s="92"/>
      <c r="N103" s="92"/>
      <c r="O103" s="92"/>
      <c r="P103" s="92"/>
    </row>
    <row r="104" spans="1:16" ht="12.75">
      <c r="A104" s="90"/>
      <c r="B104" s="90"/>
      <c r="C104" s="90"/>
      <c r="D104" s="91"/>
      <c r="E104" s="92"/>
      <c r="F104" s="92"/>
      <c r="G104" s="92"/>
      <c r="H104" s="52"/>
      <c r="I104" s="52"/>
      <c r="J104" s="92"/>
      <c r="K104" s="92"/>
      <c r="L104" s="92"/>
      <c r="M104" s="92"/>
      <c r="N104" s="92"/>
      <c r="O104" s="92"/>
      <c r="P104" s="92"/>
    </row>
    <row r="105" spans="1:16" ht="12.75">
      <c r="A105" s="90"/>
      <c r="B105" s="90"/>
      <c r="C105" s="90"/>
      <c r="D105" s="91"/>
      <c r="E105" s="92"/>
      <c r="F105" s="92"/>
      <c r="G105" s="92"/>
      <c r="H105" s="52"/>
      <c r="I105" s="52"/>
      <c r="J105" s="92"/>
      <c r="K105" s="92"/>
      <c r="L105" s="92"/>
      <c r="M105" s="92"/>
      <c r="N105" s="92"/>
      <c r="O105" s="92"/>
      <c r="P105" s="92"/>
    </row>
    <row r="106" spans="1:16" ht="12.75">
      <c r="A106" s="90"/>
      <c r="B106" s="90"/>
      <c r="C106" s="90"/>
      <c r="D106" s="91"/>
      <c r="E106" s="92"/>
      <c r="F106" s="92"/>
      <c r="G106" s="92"/>
      <c r="H106" s="52"/>
      <c r="I106" s="52"/>
      <c r="J106" s="92"/>
      <c r="K106" s="92"/>
      <c r="L106" s="92"/>
      <c r="M106" s="92"/>
      <c r="N106" s="92"/>
      <c r="O106" s="92"/>
      <c r="P106" s="92"/>
    </row>
    <row r="107" spans="1:16" ht="12.75">
      <c r="A107" s="90"/>
      <c r="B107" s="90"/>
      <c r="C107" s="90"/>
      <c r="D107" s="91"/>
      <c r="E107" s="92"/>
      <c r="F107" s="92"/>
      <c r="G107" s="92"/>
      <c r="H107" s="52"/>
      <c r="I107" s="52"/>
      <c r="J107" s="92"/>
      <c r="K107" s="92"/>
      <c r="L107" s="92"/>
      <c r="M107" s="92"/>
      <c r="N107" s="92"/>
      <c r="O107" s="92"/>
      <c r="P107" s="92"/>
    </row>
    <row r="108" spans="1:16" ht="12.75">
      <c r="A108" s="90"/>
      <c r="B108" s="90"/>
      <c r="C108" s="90"/>
      <c r="D108" s="91"/>
      <c r="E108" s="92"/>
      <c r="F108" s="92"/>
      <c r="G108" s="92"/>
      <c r="H108" s="52"/>
      <c r="I108" s="52"/>
      <c r="J108" s="92"/>
      <c r="K108" s="92"/>
      <c r="L108" s="92"/>
      <c r="M108" s="92"/>
      <c r="N108" s="92"/>
      <c r="O108" s="92"/>
      <c r="P108" s="92"/>
    </row>
    <row r="109" spans="1:16" ht="12.75">
      <c r="A109" s="90"/>
      <c r="B109" s="90"/>
      <c r="C109" s="90"/>
      <c r="D109" s="91"/>
      <c r="E109" s="92"/>
      <c r="F109" s="92"/>
      <c r="G109" s="92"/>
      <c r="H109" s="52"/>
      <c r="I109" s="52"/>
      <c r="J109" s="92"/>
      <c r="K109" s="92"/>
      <c r="L109" s="92"/>
      <c r="M109" s="92"/>
      <c r="N109" s="92"/>
      <c r="O109" s="92"/>
      <c r="P109" s="92"/>
    </row>
    <row r="110" spans="1:16" ht="12.75">
      <c r="A110" s="90"/>
      <c r="B110" s="90"/>
      <c r="C110" s="90"/>
      <c r="D110" s="91"/>
      <c r="E110" s="92"/>
      <c r="F110" s="92"/>
      <c r="G110" s="92"/>
      <c r="H110" s="52"/>
      <c r="I110" s="52"/>
      <c r="J110" s="92"/>
      <c r="K110" s="92"/>
      <c r="L110" s="92"/>
      <c r="M110" s="92"/>
      <c r="N110" s="92"/>
      <c r="O110" s="92"/>
      <c r="P110" s="92"/>
    </row>
    <row r="111" spans="1:16" ht="12.75">
      <c r="A111" s="90"/>
      <c r="B111" s="90"/>
      <c r="C111" s="90"/>
      <c r="D111" s="91"/>
      <c r="E111" s="92"/>
      <c r="F111" s="92"/>
      <c r="G111" s="92"/>
      <c r="H111" s="52"/>
      <c r="I111" s="52"/>
      <c r="J111" s="92"/>
      <c r="K111" s="92"/>
      <c r="L111" s="92"/>
      <c r="M111" s="92"/>
      <c r="N111" s="92"/>
      <c r="O111" s="92"/>
      <c r="P111" s="92"/>
    </row>
    <row r="112" spans="1:16" ht="12.75">
      <c r="A112" s="90"/>
      <c r="B112" s="90"/>
      <c r="C112" s="90"/>
      <c r="D112" s="91"/>
      <c r="E112" s="92"/>
      <c r="F112" s="92"/>
      <c r="G112" s="92"/>
      <c r="H112" s="52"/>
      <c r="I112" s="52"/>
      <c r="J112" s="92"/>
      <c r="K112" s="92"/>
      <c r="L112" s="92"/>
      <c r="M112" s="92"/>
      <c r="N112" s="92"/>
      <c r="O112" s="92"/>
      <c r="P112" s="92"/>
    </row>
    <row r="113" spans="1:16" ht="12.75">
      <c r="A113" s="90"/>
      <c r="B113" s="90"/>
      <c r="C113" s="90"/>
      <c r="D113" s="91"/>
      <c r="E113" s="92"/>
      <c r="F113" s="92"/>
      <c r="G113" s="92"/>
      <c r="H113" s="52"/>
      <c r="I113" s="52"/>
      <c r="J113" s="92"/>
      <c r="K113" s="92"/>
      <c r="L113" s="92"/>
      <c r="M113" s="92"/>
      <c r="N113" s="92"/>
      <c r="O113" s="92"/>
      <c r="P113" s="92"/>
    </row>
    <row r="114" spans="1:16" ht="12.75">
      <c r="A114" s="90"/>
      <c r="B114" s="90"/>
      <c r="C114" s="90"/>
      <c r="D114" s="91"/>
      <c r="E114" s="92"/>
      <c r="F114" s="92"/>
      <c r="G114" s="92"/>
      <c r="H114" s="52"/>
      <c r="I114" s="52"/>
      <c r="J114" s="92"/>
      <c r="K114" s="92"/>
      <c r="L114" s="92"/>
      <c r="M114" s="92"/>
      <c r="N114" s="92"/>
      <c r="O114" s="92"/>
      <c r="P114" s="92"/>
    </row>
    <row r="115" spans="1:16" ht="12.75">
      <c r="A115" s="90"/>
      <c r="B115" s="90"/>
      <c r="C115" s="90"/>
      <c r="D115" s="91"/>
      <c r="E115" s="92"/>
      <c r="F115" s="92"/>
      <c r="G115" s="92"/>
      <c r="H115" s="52"/>
      <c r="I115" s="52"/>
      <c r="J115" s="92"/>
      <c r="K115" s="92"/>
      <c r="L115" s="92"/>
      <c r="M115" s="92"/>
      <c r="N115" s="92"/>
      <c r="O115" s="92"/>
      <c r="P115" s="92"/>
    </row>
    <row r="116" spans="1:16" ht="12.75">
      <c r="A116" s="90"/>
      <c r="B116" s="90"/>
      <c r="C116" s="90"/>
      <c r="D116" s="91"/>
      <c r="E116" s="92"/>
      <c r="F116" s="92"/>
      <c r="G116" s="92"/>
      <c r="H116" s="52"/>
      <c r="I116" s="52"/>
      <c r="J116" s="92"/>
      <c r="K116" s="92"/>
      <c r="L116" s="92"/>
      <c r="M116" s="92"/>
      <c r="N116" s="92"/>
      <c r="O116" s="92"/>
      <c r="P116" s="92"/>
    </row>
    <row r="117" spans="1:16" ht="12.75">
      <c r="A117" s="90"/>
      <c r="B117" s="90"/>
      <c r="C117" s="90"/>
      <c r="D117" s="91"/>
      <c r="E117" s="92"/>
      <c r="F117" s="92"/>
      <c r="G117" s="92"/>
      <c r="H117" s="52"/>
      <c r="I117" s="52"/>
      <c r="J117" s="92"/>
      <c r="K117" s="92"/>
      <c r="L117" s="92"/>
      <c r="M117" s="92"/>
      <c r="N117" s="92"/>
      <c r="O117" s="92"/>
      <c r="P117" s="92"/>
    </row>
    <row r="118" spans="1:16" ht="12.75">
      <c r="A118" s="90"/>
      <c r="B118" s="90"/>
      <c r="C118" s="90"/>
      <c r="D118" s="91"/>
      <c r="E118" s="92"/>
      <c r="F118" s="92"/>
      <c r="G118" s="92"/>
      <c r="H118" s="52"/>
      <c r="I118" s="52"/>
      <c r="J118" s="92"/>
      <c r="K118" s="92"/>
      <c r="L118" s="92"/>
      <c r="M118" s="92"/>
      <c r="N118" s="92"/>
      <c r="O118" s="92"/>
      <c r="P118" s="92"/>
    </row>
    <row r="119" spans="1:16" ht="12.75">
      <c r="A119" s="90"/>
      <c r="B119" s="90"/>
      <c r="C119" s="90"/>
      <c r="D119" s="91"/>
      <c r="E119" s="92"/>
      <c r="F119" s="92"/>
      <c r="G119" s="92"/>
      <c r="H119" s="52"/>
      <c r="I119" s="52"/>
      <c r="J119" s="92"/>
      <c r="K119" s="92"/>
      <c r="L119" s="92"/>
      <c r="M119" s="92"/>
      <c r="N119" s="92"/>
      <c r="O119" s="92"/>
      <c r="P119" s="92"/>
    </row>
    <row r="120" spans="1:16" ht="12.75">
      <c r="A120" s="90"/>
      <c r="B120" s="90"/>
      <c r="C120" s="90"/>
      <c r="D120" s="91"/>
      <c r="E120" s="92"/>
      <c r="F120" s="92"/>
      <c r="G120" s="92"/>
      <c r="H120" s="52"/>
      <c r="I120" s="52"/>
      <c r="J120" s="92"/>
      <c r="K120" s="92"/>
      <c r="L120" s="92"/>
      <c r="M120" s="92"/>
      <c r="N120" s="92"/>
      <c r="O120" s="92"/>
      <c r="P120" s="92"/>
    </row>
    <row r="121" spans="1:16" ht="12.75">
      <c r="A121" s="90"/>
      <c r="B121" s="90"/>
      <c r="C121" s="90"/>
      <c r="D121" s="91"/>
      <c r="E121" s="92"/>
      <c r="F121" s="92"/>
      <c r="G121" s="92"/>
      <c r="H121" s="52"/>
      <c r="I121" s="52"/>
      <c r="J121" s="92"/>
      <c r="K121" s="92"/>
      <c r="L121" s="92"/>
      <c r="M121" s="92"/>
      <c r="N121" s="92"/>
      <c r="O121" s="92"/>
      <c r="P121" s="92"/>
    </row>
    <row r="122" spans="1:16" ht="12.75">
      <c r="A122" s="90"/>
      <c r="B122" s="90"/>
      <c r="C122" s="90"/>
      <c r="D122" s="91"/>
      <c r="E122" s="92"/>
      <c r="F122" s="92"/>
      <c r="G122" s="92"/>
      <c r="H122" s="52"/>
      <c r="I122" s="52"/>
      <c r="J122" s="92"/>
      <c r="K122" s="92"/>
      <c r="L122" s="92"/>
      <c r="M122" s="92"/>
      <c r="N122" s="92"/>
      <c r="O122" s="92"/>
      <c r="P122" s="92"/>
    </row>
    <row r="123" spans="1:16" ht="12.75">
      <c r="A123" s="90"/>
      <c r="B123" s="90"/>
      <c r="C123" s="90"/>
      <c r="D123" s="91"/>
      <c r="E123" s="92"/>
      <c r="F123" s="92"/>
      <c r="G123" s="92"/>
      <c r="H123" s="52"/>
      <c r="I123" s="52"/>
      <c r="J123" s="92"/>
      <c r="K123" s="92"/>
      <c r="L123" s="92"/>
      <c r="M123" s="92"/>
      <c r="N123" s="92"/>
      <c r="O123" s="92"/>
      <c r="P123" s="92"/>
    </row>
    <row r="124" spans="1:16" ht="12.75">
      <c r="A124" s="90"/>
      <c r="B124" s="90"/>
      <c r="C124" s="90"/>
      <c r="D124" s="91"/>
      <c r="E124" s="92"/>
      <c r="F124" s="92"/>
      <c r="G124" s="92"/>
      <c r="H124" s="52"/>
      <c r="I124" s="52"/>
      <c r="J124" s="92"/>
      <c r="K124" s="92"/>
      <c r="L124" s="92"/>
      <c r="M124" s="92"/>
      <c r="N124" s="92"/>
      <c r="O124" s="92"/>
      <c r="P124" s="92"/>
    </row>
    <row r="125" spans="1:16" ht="12.75">
      <c r="A125" s="90"/>
      <c r="B125" s="90"/>
      <c r="C125" s="90"/>
      <c r="D125" s="91"/>
      <c r="E125" s="92"/>
      <c r="F125" s="92"/>
      <c r="G125" s="92"/>
      <c r="H125" s="52"/>
      <c r="I125" s="52"/>
      <c r="J125" s="92"/>
      <c r="K125" s="92"/>
      <c r="L125" s="92"/>
      <c r="M125" s="92"/>
      <c r="N125" s="92"/>
      <c r="O125" s="92"/>
      <c r="P125" s="92"/>
    </row>
    <row r="126" spans="1:16" ht="12.75">
      <c r="A126" s="90"/>
      <c r="B126" s="90"/>
      <c r="C126" s="90"/>
      <c r="D126" s="91"/>
      <c r="E126" s="92"/>
      <c r="F126" s="92"/>
      <c r="G126" s="92"/>
      <c r="H126" s="52"/>
      <c r="I126" s="52"/>
      <c r="J126" s="92"/>
      <c r="K126" s="92"/>
      <c r="L126" s="92"/>
      <c r="M126" s="92"/>
      <c r="N126" s="92"/>
      <c r="O126" s="92"/>
      <c r="P126" s="92"/>
    </row>
    <row r="127" spans="1:16" ht="12.75">
      <c r="A127" s="90"/>
      <c r="B127" s="90"/>
      <c r="C127" s="90"/>
      <c r="D127" s="91"/>
      <c r="E127" s="92"/>
      <c r="F127" s="92"/>
      <c r="G127" s="92"/>
      <c r="H127" s="52"/>
      <c r="I127" s="52"/>
      <c r="J127" s="92"/>
      <c r="K127" s="92"/>
      <c r="L127" s="92"/>
      <c r="M127" s="92"/>
      <c r="N127" s="92"/>
      <c r="O127" s="92"/>
      <c r="P127" s="92"/>
    </row>
    <row r="128" spans="1:16" ht="12.75">
      <c r="A128" s="90"/>
      <c r="B128" s="90"/>
      <c r="C128" s="90"/>
      <c r="D128" s="91"/>
      <c r="E128" s="92"/>
      <c r="F128" s="92"/>
      <c r="G128" s="92"/>
      <c r="H128" s="52"/>
      <c r="I128" s="52"/>
      <c r="J128" s="92"/>
      <c r="K128" s="92"/>
      <c r="L128" s="92"/>
      <c r="M128" s="92"/>
      <c r="N128" s="92"/>
      <c r="O128" s="92"/>
      <c r="P128" s="92"/>
    </row>
    <row r="129" spans="1:16" ht="12.75">
      <c r="A129" s="90"/>
      <c r="B129" s="90"/>
      <c r="C129" s="90"/>
      <c r="D129" s="91"/>
      <c r="E129" s="92"/>
      <c r="F129" s="92"/>
      <c r="G129" s="92"/>
      <c r="H129" s="52"/>
      <c r="I129" s="52"/>
      <c r="J129" s="92"/>
      <c r="K129" s="92"/>
      <c r="L129" s="92"/>
      <c r="M129" s="92"/>
      <c r="N129" s="92"/>
      <c r="O129" s="92"/>
      <c r="P129" s="92"/>
    </row>
    <row r="130" spans="1:16" ht="12.75">
      <c r="A130" s="90"/>
      <c r="B130" s="90"/>
      <c r="C130" s="90"/>
      <c r="D130" s="91"/>
      <c r="E130" s="92"/>
      <c r="F130" s="92"/>
      <c r="G130" s="92"/>
      <c r="H130" s="52"/>
      <c r="I130" s="52"/>
      <c r="J130" s="92"/>
      <c r="K130" s="92"/>
      <c r="L130" s="92"/>
      <c r="M130" s="92"/>
      <c r="N130" s="92"/>
      <c r="O130" s="92"/>
      <c r="P130" s="92"/>
    </row>
    <row r="131" spans="1:16" ht="12.75">
      <c r="A131" s="90"/>
      <c r="B131" s="90"/>
      <c r="C131" s="90"/>
      <c r="D131" s="91"/>
      <c r="E131" s="92"/>
      <c r="F131" s="92"/>
      <c r="G131" s="92"/>
      <c r="H131" s="52"/>
      <c r="I131" s="52"/>
      <c r="J131" s="92"/>
      <c r="K131" s="92"/>
      <c r="L131" s="92"/>
      <c r="M131" s="92"/>
      <c r="N131" s="92"/>
      <c r="O131" s="92"/>
      <c r="P131" s="92"/>
    </row>
    <row r="132" spans="1:16" ht="12.75">
      <c r="A132" s="90"/>
      <c r="B132" s="90"/>
      <c r="C132" s="90"/>
      <c r="D132" s="91"/>
      <c r="E132" s="92"/>
      <c r="F132" s="92"/>
      <c r="G132" s="92"/>
      <c r="H132" s="52"/>
      <c r="I132" s="52"/>
      <c r="J132" s="92"/>
      <c r="K132" s="92"/>
      <c r="L132" s="92"/>
      <c r="M132" s="92"/>
      <c r="N132" s="92"/>
      <c r="O132" s="92"/>
      <c r="P132" s="92"/>
    </row>
    <row r="133" spans="1:16" ht="12.75">
      <c r="A133" s="90"/>
      <c r="B133" s="90"/>
      <c r="C133" s="90"/>
      <c r="D133" s="91"/>
      <c r="E133" s="92"/>
      <c r="F133" s="92"/>
      <c r="G133" s="92"/>
      <c r="H133" s="52"/>
      <c r="I133" s="52"/>
      <c r="J133" s="92"/>
      <c r="K133" s="92"/>
      <c r="L133" s="92"/>
      <c r="M133" s="92"/>
      <c r="N133" s="92"/>
      <c r="O133" s="92"/>
      <c r="P133" s="92"/>
    </row>
    <row r="134" spans="1:16" ht="12.75">
      <c r="A134" s="90"/>
      <c r="B134" s="90"/>
      <c r="C134" s="90"/>
      <c r="D134" s="91"/>
      <c r="E134" s="92"/>
      <c r="F134" s="92"/>
      <c r="G134" s="92"/>
      <c r="H134" s="52"/>
      <c r="I134" s="52"/>
      <c r="J134" s="92"/>
      <c r="K134" s="92"/>
      <c r="L134" s="92"/>
      <c r="M134" s="92"/>
      <c r="N134" s="92"/>
      <c r="O134" s="92"/>
      <c r="P134" s="92"/>
    </row>
    <row r="135" spans="1:16" ht="12.75">
      <c r="A135" s="90"/>
      <c r="B135" s="90"/>
      <c r="C135" s="90"/>
      <c r="D135" s="91"/>
      <c r="E135" s="92"/>
      <c r="F135" s="92"/>
      <c r="G135" s="92"/>
      <c r="H135" s="52"/>
      <c r="I135" s="52"/>
      <c r="J135" s="92"/>
      <c r="K135" s="92"/>
      <c r="L135" s="92"/>
      <c r="M135" s="92"/>
      <c r="N135" s="92"/>
      <c r="O135" s="92"/>
      <c r="P135" s="92"/>
    </row>
    <row r="136" spans="1:16" ht="12.75">
      <c r="A136" s="90"/>
      <c r="B136" s="90"/>
      <c r="C136" s="90"/>
      <c r="D136" s="91"/>
      <c r="E136" s="92"/>
      <c r="F136" s="92"/>
      <c r="G136" s="92"/>
      <c r="H136" s="52"/>
      <c r="I136" s="52"/>
      <c r="J136" s="92"/>
      <c r="K136" s="92"/>
      <c r="L136" s="92"/>
      <c r="M136" s="92"/>
      <c r="N136" s="92"/>
      <c r="O136" s="92"/>
      <c r="P136" s="92"/>
    </row>
    <row r="137" spans="1:16" ht="12.75">
      <c r="A137" s="90"/>
      <c r="B137" s="90"/>
      <c r="C137" s="90"/>
      <c r="D137" s="91"/>
      <c r="E137" s="92"/>
      <c r="F137" s="92"/>
      <c r="G137" s="92"/>
      <c r="H137" s="52"/>
      <c r="I137" s="52"/>
      <c r="J137" s="92"/>
      <c r="K137" s="92"/>
      <c r="L137" s="92"/>
      <c r="M137" s="92"/>
      <c r="N137" s="92"/>
      <c r="O137" s="92"/>
      <c r="P137" s="92"/>
    </row>
    <row r="138" spans="1:16" ht="12.75">
      <c r="A138" s="90"/>
      <c r="B138" s="90"/>
      <c r="C138" s="90"/>
      <c r="D138" s="91"/>
      <c r="E138" s="92"/>
      <c r="F138" s="92"/>
      <c r="G138" s="92"/>
      <c r="H138" s="52"/>
      <c r="I138" s="52"/>
      <c r="J138" s="92"/>
      <c r="K138" s="92"/>
      <c r="L138" s="92"/>
      <c r="M138" s="92"/>
      <c r="N138" s="92"/>
      <c r="O138" s="92"/>
      <c r="P138" s="92"/>
    </row>
    <row r="139" spans="1:16" ht="12.75">
      <c r="A139" s="90"/>
      <c r="B139" s="90"/>
      <c r="C139" s="90"/>
      <c r="D139" s="91"/>
      <c r="E139" s="92"/>
      <c r="F139" s="92"/>
      <c r="G139" s="92"/>
      <c r="H139" s="52"/>
      <c r="I139" s="52"/>
      <c r="J139" s="92"/>
      <c r="K139" s="92"/>
      <c r="L139" s="92"/>
      <c r="M139" s="92"/>
      <c r="N139" s="92"/>
      <c r="O139" s="92"/>
      <c r="P139" s="92"/>
    </row>
    <row r="140" spans="1:16" ht="12.75">
      <c r="A140" s="90"/>
      <c r="B140" s="90"/>
      <c r="C140" s="90"/>
      <c r="D140" s="91"/>
      <c r="E140" s="92"/>
      <c r="F140" s="92"/>
      <c r="G140" s="92"/>
      <c r="H140" s="52"/>
      <c r="I140" s="52"/>
      <c r="J140" s="92"/>
      <c r="K140" s="92"/>
      <c r="L140" s="92"/>
      <c r="M140" s="92"/>
      <c r="N140" s="92"/>
      <c r="O140" s="92"/>
      <c r="P140" s="92"/>
    </row>
    <row r="141" spans="1:16" ht="12.75">
      <c r="A141" s="90"/>
      <c r="B141" s="90"/>
      <c r="C141" s="90"/>
      <c r="D141" s="91"/>
      <c r="E141" s="92"/>
      <c r="F141" s="92"/>
      <c r="G141" s="92"/>
      <c r="H141" s="52"/>
      <c r="I141" s="52"/>
      <c r="J141" s="92"/>
      <c r="K141" s="92"/>
      <c r="L141" s="92"/>
      <c r="M141" s="92"/>
      <c r="N141" s="92"/>
      <c r="O141" s="92"/>
      <c r="P141" s="92"/>
    </row>
    <row r="142" spans="1:16" ht="12.75">
      <c r="A142" s="90"/>
      <c r="B142" s="90"/>
      <c r="C142" s="90"/>
      <c r="D142" s="91"/>
      <c r="E142" s="92"/>
      <c r="F142" s="92"/>
      <c r="G142" s="92"/>
      <c r="H142" s="52"/>
      <c r="I142" s="52"/>
      <c r="J142" s="92"/>
      <c r="K142" s="92"/>
      <c r="L142" s="92"/>
      <c r="M142" s="92"/>
      <c r="N142" s="92"/>
      <c r="O142" s="92"/>
      <c r="P142" s="92"/>
    </row>
    <row r="143" spans="1:16" ht="12.75">
      <c r="A143" s="90"/>
      <c r="B143" s="90"/>
      <c r="C143" s="90"/>
      <c r="D143" s="91"/>
      <c r="E143" s="92"/>
      <c r="F143" s="92"/>
      <c r="G143" s="92"/>
      <c r="H143" s="52"/>
      <c r="I143" s="52"/>
      <c r="J143" s="92"/>
      <c r="K143" s="92"/>
      <c r="L143" s="92"/>
      <c r="M143" s="92"/>
      <c r="N143" s="92"/>
      <c r="O143" s="92"/>
      <c r="P143" s="92"/>
    </row>
    <row r="144" spans="1:16" ht="12.75">
      <c r="A144" s="90"/>
      <c r="B144" s="90"/>
      <c r="C144" s="90"/>
      <c r="D144" s="91"/>
      <c r="E144" s="92"/>
      <c r="F144" s="92"/>
      <c r="G144" s="92"/>
      <c r="H144" s="52"/>
      <c r="I144" s="52"/>
      <c r="J144" s="92"/>
      <c r="K144" s="92"/>
      <c r="L144" s="92"/>
      <c r="M144" s="92"/>
      <c r="N144" s="92"/>
      <c r="O144" s="92"/>
      <c r="P144" s="92"/>
    </row>
    <row r="145" spans="1:16" ht="12.75">
      <c r="A145" s="90"/>
      <c r="B145" s="90"/>
      <c r="C145" s="90"/>
      <c r="D145" s="91"/>
      <c r="E145" s="92"/>
      <c r="F145" s="92"/>
      <c r="G145" s="92"/>
      <c r="H145" s="52"/>
      <c r="I145" s="52"/>
      <c r="J145" s="92"/>
      <c r="K145" s="92"/>
      <c r="L145" s="92"/>
      <c r="M145" s="92"/>
      <c r="N145" s="92"/>
      <c r="O145" s="92"/>
      <c r="P145" s="92"/>
    </row>
    <row r="146" spans="1:16" ht="12.75">
      <c r="A146" s="90"/>
      <c r="B146" s="90"/>
      <c r="C146" s="90"/>
      <c r="D146" s="91"/>
      <c r="E146" s="92"/>
      <c r="F146" s="92"/>
      <c r="G146" s="92"/>
      <c r="H146" s="52"/>
      <c r="I146" s="52"/>
      <c r="J146" s="92"/>
      <c r="K146" s="92"/>
      <c r="L146" s="92"/>
      <c r="M146" s="92"/>
      <c r="N146" s="92"/>
      <c r="O146" s="92"/>
      <c r="P146" s="92"/>
    </row>
    <row r="147" spans="1:16" ht="12.75">
      <c r="A147" s="90"/>
      <c r="B147" s="90"/>
      <c r="C147" s="90"/>
      <c r="D147" s="91"/>
      <c r="E147" s="92"/>
      <c r="F147" s="92"/>
      <c r="G147" s="92"/>
      <c r="H147" s="52"/>
      <c r="I147" s="52"/>
      <c r="J147" s="92"/>
      <c r="K147" s="92"/>
      <c r="L147" s="92"/>
      <c r="M147" s="92"/>
      <c r="N147" s="92"/>
      <c r="O147" s="92"/>
      <c r="P147" s="92"/>
    </row>
    <row r="148" spans="1:16" ht="12.75">
      <c r="A148" s="90"/>
      <c r="B148" s="90"/>
      <c r="C148" s="90"/>
      <c r="D148" s="91"/>
      <c r="E148" s="92"/>
      <c r="F148" s="92"/>
      <c r="G148" s="92"/>
      <c r="H148" s="52"/>
      <c r="I148" s="52"/>
      <c r="J148" s="92"/>
      <c r="K148" s="92"/>
      <c r="L148" s="92"/>
      <c r="M148" s="92"/>
      <c r="N148" s="92"/>
      <c r="O148" s="92"/>
      <c r="P148" s="92"/>
    </row>
    <row r="149" spans="1:16" ht="12.75">
      <c r="A149" s="90"/>
      <c r="B149" s="90"/>
      <c r="C149" s="90"/>
      <c r="D149" s="91"/>
      <c r="E149" s="92"/>
      <c r="F149" s="92"/>
      <c r="G149" s="92"/>
      <c r="H149" s="52"/>
      <c r="I149" s="52"/>
      <c r="J149" s="92"/>
      <c r="K149" s="92"/>
      <c r="L149" s="92"/>
      <c r="M149" s="92"/>
      <c r="N149" s="92"/>
      <c r="O149" s="92"/>
      <c r="P149" s="92"/>
    </row>
    <row r="150" spans="1:16" ht="12.75">
      <c r="A150" s="90"/>
      <c r="B150" s="90"/>
      <c r="C150" s="90"/>
      <c r="D150" s="91"/>
      <c r="E150" s="92"/>
      <c r="F150" s="92"/>
      <c r="G150" s="92"/>
      <c r="H150" s="52"/>
      <c r="I150" s="52"/>
      <c r="J150" s="92"/>
      <c r="K150" s="92"/>
      <c r="L150" s="92"/>
      <c r="M150" s="92"/>
      <c r="N150" s="92"/>
      <c r="O150" s="92"/>
      <c r="P150" s="92"/>
    </row>
    <row r="151" spans="1:16" ht="12.75">
      <c r="A151" s="90"/>
      <c r="B151" s="90"/>
      <c r="C151" s="90"/>
      <c r="D151" s="91"/>
      <c r="E151" s="92"/>
      <c r="F151" s="92"/>
      <c r="G151" s="92"/>
      <c r="H151" s="52"/>
      <c r="I151" s="52"/>
      <c r="J151" s="92"/>
      <c r="K151" s="92"/>
      <c r="L151" s="92"/>
      <c r="M151" s="92"/>
      <c r="N151" s="92"/>
      <c r="O151" s="92"/>
      <c r="P151" s="92"/>
    </row>
    <row r="152" spans="1:16" ht="12.75">
      <c r="A152" s="90"/>
      <c r="B152" s="90"/>
      <c r="C152" s="90"/>
      <c r="D152" s="91"/>
      <c r="E152" s="92"/>
      <c r="F152" s="92"/>
      <c r="G152" s="92"/>
      <c r="H152" s="52"/>
      <c r="I152" s="52"/>
      <c r="J152" s="92"/>
      <c r="K152" s="92"/>
      <c r="L152" s="92"/>
      <c r="M152" s="92"/>
      <c r="N152" s="92"/>
      <c r="O152" s="92"/>
      <c r="P152" s="92"/>
    </row>
    <row r="153" spans="1:16" ht="12.75">
      <c r="A153" s="90"/>
      <c r="B153" s="90"/>
      <c r="C153" s="90"/>
      <c r="D153" s="91"/>
      <c r="E153" s="92"/>
      <c r="F153" s="92"/>
      <c r="G153" s="92"/>
      <c r="H153" s="52"/>
      <c r="I153" s="52"/>
      <c r="J153" s="92"/>
      <c r="K153" s="92"/>
      <c r="L153" s="92"/>
      <c r="M153" s="92"/>
      <c r="N153" s="92"/>
      <c r="O153" s="92"/>
      <c r="P153" s="92"/>
    </row>
    <row r="154" spans="1:16" ht="12.75">
      <c r="A154" s="90"/>
      <c r="B154" s="90"/>
      <c r="C154" s="90"/>
      <c r="D154" s="91"/>
      <c r="E154" s="92"/>
      <c r="F154" s="92"/>
      <c r="G154" s="92"/>
      <c r="H154" s="52"/>
      <c r="I154" s="52"/>
      <c r="J154" s="92"/>
      <c r="K154" s="92"/>
      <c r="L154" s="92"/>
      <c r="M154" s="92"/>
      <c r="N154" s="92"/>
      <c r="O154" s="92"/>
      <c r="P154" s="92"/>
    </row>
    <row r="155" spans="1:16" ht="12.75">
      <c r="A155" s="90"/>
      <c r="B155" s="90"/>
      <c r="C155" s="90"/>
      <c r="D155" s="91"/>
      <c r="E155" s="92"/>
      <c r="F155" s="92"/>
      <c r="G155" s="92"/>
      <c r="H155" s="52"/>
      <c r="I155" s="52"/>
      <c r="J155" s="92"/>
      <c r="K155" s="92"/>
      <c r="L155" s="92"/>
      <c r="M155" s="92"/>
      <c r="N155" s="92"/>
      <c r="O155" s="92"/>
      <c r="P155" s="92"/>
    </row>
    <row r="156" spans="1:16" ht="12.75">
      <c r="A156" s="90"/>
      <c r="B156" s="90"/>
      <c r="C156" s="90"/>
      <c r="D156" s="91"/>
      <c r="E156" s="92"/>
      <c r="F156" s="92"/>
      <c r="G156" s="92"/>
      <c r="H156" s="52"/>
      <c r="I156" s="52"/>
      <c r="J156" s="92"/>
      <c r="K156" s="92"/>
      <c r="L156" s="92"/>
      <c r="M156" s="92"/>
      <c r="N156" s="92"/>
      <c r="O156" s="92"/>
      <c r="P156" s="92"/>
    </row>
    <row r="157" spans="1:16" ht="12.75">
      <c r="A157" s="90"/>
      <c r="B157" s="90"/>
      <c r="C157" s="90"/>
      <c r="D157" s="91"/>
      <c r="E157" s="92"/>
      <c r="F157" s="92"/>
      <c r="G157" s="92"/>
      <c r="H157" s="52"/>
      <c r="I157" s="52"/>
      <c r="J157" s="92"/>
      <c r="K157" s="92"/>
      <c r="L157" s="92"/>
      <c r="M157" s="92"/>
      <c r="N157" s="92"/>
      <c r="O157" s="92"/>
      <c r="P157" s="92"/>
    </row>
    <row r="158" spans="1:16" ht="12.75">
      <c r="A158" s="90"/>
      <c r="B158" s="90"/>
      <c r="C158" s="90"/>
      <c r="D158" s="91"/>
      <c r="E158" s="92"/>
      <c r="F158" s="92"/>
      <c r="G158" s="92"/>
      <c r="H158" s="52"/>
      <c r="I158" s="52"/>
      <c r="J158" s="92"/>
      <c r="K158" s="92"/>
      <c r="L158" s="92"/>
      <c r="M158" s="92"/>
      <c r="N158" s="92"/>
      <c r="O158" s="92"/>
      <c r="P158" s="92"/>
    </row>
    <row r="159" spans="1:16" ht="12.75">
      <c r="A159" s="90"/>
      <c r="B159" s="90"/>
      <c r="C159" s="90"/>
      <c r="D159" s="91"/>
      <c r="E159" s="92"/>
      <c r="F159" s="92"/>
      <c r="G159" s="92"/>
      <c r="H159" s="52"/>
      <c r="I159" s="52"/>
      <c r="J159" s="92"/>
      <c r="K159" s="92"/>
      <c r="L159" s="92"/>
      <c r="M159" s="92"/>
      <c r="N159" s="92"/>
      <c r="O159" s="92"/>
      <c r="P159" s="92"/>
    </row>
    <row r="160" spans="1:16" ht="12.75">
      <c r="A160" s="90"/>
      <c r="B160" s="90"/>
      <c r="C160" s="90"/>
      <c r="D160" s="91"/>
      <c r="E160" s="92"/>
      <c r="F160" s="92"/>
      <c r="G160" s="92"/>
      <c r="H160" s="52"/>
      <c r="I160" s="52"/>
      <c r="J160" s="92"/>
      <c r="K160" s="92"/>
      <c r="L160" s="92"/>
      <c r="M160" s="92"/>
      <c r="N160" s="92"/>
      <c r="O160" s="92"/>
      <c r="P160" s="92"/>
    </row>
    <row r="161" spans="1:16" ht="12.75">
      <c r="A161" s="90"/>
      <c r="B161" s="90"/>
      <c r="C161" s="90"/>
      <c r="D161" s="91"/>
      <c r="E161" s="92"/>
      <c r="F161" s="92"/>
      <c r="G161" s="92"/>
      <c r="H161" s="52"/>
      <c r="I161" s="52"/>
      <c r="J161" s="92"/>
      <c r="K161" s="92"/>
      <c r="L161" s="92"/>
      <c r="M161" s="92"/>
      <c r="N161" s="92"/>
      <c r="O161" s="92"/>
      <c r="P161" s="92"/>
    </row>
    <row r="162" spans="1:16" ht="12.75">
      <c r="A162" s="90"/>
      <c r="B162" s="90"/>
      <c r="C162" s="90"/>
      <c r="D162" s="91"/>
      <c r="E162" s="92"/>
      <c r="F162" s="92"/>
      <c r="G162" s="92"/>
      <c r="H162" s="52"/>
      <c r="I162" s="52"/>
      <c r="J162" s="92"/>
      <c r="K162" s="92"/>
      <c r="L162" s="92"/>
      <c r="M162" s="92"/>
      <c r="N162" s="92"/>
      <c r="O162" s="92"/>
      <c r="P162" s="92"/>
    </row>
    <row r="163" spans="1:16" ht="12.75">
      <c r="A163" s="90"/>
      <c r="B163" s="90"/>
      <c r="C163" s="90"/>
      <c r="D163" s="91"/>
      <c r="E163" s="92"/>
      <c r="F163" s="92"/>
      <c r="G163" s="92"/>
      <c r="H163" s="52"/>
      <c r="I163" s="52"/>
      <c r="J163" s="92"/>
      <c r="K163" s="92"/>
      <c r="L163" s="92"/>
      <c r="M163" s="92"/>
      <c r="N163" s="92"/>
      <c r="O163" s="92"/>
      <c r="P163" s="92"/>
    </row>
    <row r="164" spans="1:16" ht="12.75">
      <c r="A164" s="90"/>
      <c r="B164" s="90"/>
      <c r="C164" s="90"/>
      <c r="D164" s="91"/>
      <c r="E164" s="92"/>
      <c r="F164" s="92"/>
      <c r="G164" s="92"/>
      <c r="H164" s="52"/>
      <c r="I164" s="52"/>
      <c r="J164" s="92"/>
      <c r="K164" s="92"/>
      <c r="L164" s="92"/>
      <c r="M164" s="92"/>
      <c r="N164" s="92"/>
      <c r="O164" s="92"/>
      <c r="P164" s="92"/>
    </row>
    <row r="165" spans="1:16" ht="12.75">
      <c r="A165" s="90"/>
      <c r="B165" s="90"/>
      <c r="C165" s="90"/>
      <c r="D165" s="91"/>
      <c r="E165" s="92"/>
      <c r="F165" s="92"/>
      <c r="G165" s="92"/>
      <c r="H165" s="52"/>
      <c r="I165" s="52"/>
      <c r="J165" s="92"/>
      <c r="K165" s="92"/>
      <c r="L165" s="92"/>
      <c r="M165" s="92"/>
      <c r="N165" s="92"/>
      <c r="O165" s="92"/>
      <c r="P165" s="92"/>
    </row>
    <row r="166" spans="1:16" ht="12.75">
      <c r="A166" s="90"/>
      <c r="B166" s="90"/>
      <c r="C166" s="90"/>
      <c r="D166" s="91"/>
      <c r="E166" s="92"/>
      <c r="F166" s="92"/>
      <c r="G166" s="92"/>
      <c r="H166" s="52"/>
      <c r="I166" s="52"/>
      <c r="J166" s="92"/>
      <c r="K166" s="92"/>
      <c r="L166" s="92"/>
      <c r="M166" s="92"/>
      <c r="N166" s="92"/>
      <c r="O166" s="92"/>
      <c r="P166" s="92"/>
    </row>
    <row r="167" spans="1:16" ht="12.75">
      <c r="A167" s="90"/>
      <c r="B167" s="90"/>
      <c r="C167" s="90"/>
      <c r="D167" s="91"/>
      <c r="E167" s="92"/>
      <c r="F167" s="92"/>
      <c r="G167" s="92"/>
      <c r="H167" s="52"/>
      <c r="I167" s="52"/>
      <c r="J167" s="92"/>
      <c r="K167" s="92"/>
      <c r="L167" s="92"/>
      <c r="M167" s="92"/>
      <c r="N167" s="92"/>
      <c r="O167" s="92"/>
      <c r="P167" s="92"/>
    </row>
    <row r="168" spans="1:16" ht="12.75">
      <c r="A168" s="90"/>
      <c r="B168" s="90"/>
      <c r="C168" s="90"/>
      <c r="D168" s="91"/>
      <c r="E168" s="92"/>
      <c r="F168" s="92"/>
      <c r="G168" s="92"/>
      <c r="H168" s="52"/>
      <c r="I168" s="52"/>
      <c r="J168" s="92"/>
      <c r="K168" s="92"/>
      <c r="L168" s="92"/>
      <c r="M168" s="92"/>
      <c r="N168" s="92"/>
      <c r="O168" s="92"/>
      <c r="P168" s="92"/>
    </row>
    <row r="169" spans="1:16" ht="12.75">
      <c r="A169" s="90"/>
      <c r="B169" s="90"/>
      <c r="C169" s="90"/>
      <c r="D169" s="91"/>
      <c r="E169" s="92"/>
      <c r="F169" s="92"/>
      <c r="G169" s="92"/>
      <c r="H169" s="52"/>
      <c r="I169" s="52"/>
      <c r="J169" s="92"/>
      <c r="K169" s="92"/>
      <c r="L169" s="92"/>
      <c r="M169" s="92"/>
      <c r="N169" s="92"/>
      <c r="O169" s="92"/>
      <c r="P169" s="92"/>
    </row>
    <row r="170" spans="1:16" ht="12.75">
      <c r="A170" s="90"/>
      <c r="B170" s="90"/>
      <c r="C170" s="90"/>
      <c r="D170" s="91"/>
      <c r="E170" s="92"/>
      <c r="F170" s="92"/>
      <c r="G170" s="92"/>
      <c r="H170" s="52"/>
      <c r="I170" s="52"/>
      <c r="J170" s="92"/>
      <c r="K170" s="92"/>
      <c r="L170" s="92"/>
      <c r="M170" s="92"/>
      <c r="N170" s="92"/>
      <c r="O170" s="92"/>
      <c r="P170" s="92"/>
    </row>
    <row r="171" spans="1:16" ht="12.75">
      <c r="A171" s="90"/>
      <c r="B171" s="90"/>
      <c r="C171" s="90"/>
      <c r="D171" s="91"/>
      <c r="E171" s="92"/>
      <c r="F171" s="92"/>
      <c r="G171" s="92"/>
      <c r="H171" s="52"/>
      <c r="I171" s="52"/>
      <c r="J171" s="92"/>
      <c r="K171" s="92"/>
      <c r="L171" s="92"/>
      <c r="M171" s="92"/>
      <c r="N171" s="92"/>
      <c r="O171" s="92"/>
      <c r="P171" s="92"/>
    </row>
    <row r="172" spans="1:16" ht="12.75">
      <c r="A172" s="90"/>
      <c r="B172" s="90"/>
      <c r="C172" s="90"/>
      <c r="D172" s="91"/>
      <c r="E172" s="92"/>
      <c r="F172" s="92"/>
      <c r="G172" s="92"/>
      <c r="H172" s="52"/>
      <c r="I172" s="52"/>
      <c r="J172" s="92"/>
      <c r="K172" s="92"/>
      <c r="L172" s="92"/>
      <c r="M172" s="92"/>
      <c r="N172" s="92"/>
      <c r="O172" s="92"/>
      <c r="P172" s="92"/>
    </row>
    <row r="173" spans="1:16" ht="12.75">
      <c r="A173" s="90"/>
      <c r="B173" s="90"/>
      <c r="C173" s="90"/>
      <c r="D173" s="91"/>
      <c r="E173" s="92"/>
      <c r="F173" s="92"/>
      <c r="G173" s="92"/>
      <c r="H173" s="52"/>
      <c r="I173" s="52"/>
      <c r="J173" s="92"/>
      <c r="K173" s="92"/>
      <c r="L173" s="92"/>
      <c r="M173" s="92"/>
      <c r="N173" s="92"/>
      <c r="O173" s="92"/>
      <c r="P173" s="92"/>
    </row>
    <row r="174" spans="1:16" ht="12.75">
      <c r="A174" s="90"/>
      <c r="B174" s="90"/>
      <c r="C174" s="90"/>
      <c r="D174" s="91"/>
      <c r="E174" s="92"/>
      <c r="F174" s="92"/>
      <c r="G174" s="92"/>
      <c r="H174" s="52"/>
      <c r="I174" s="52"/>
      <c r="J174" s="92"/>
      <c r="K174" s="92"/>
      <c r="L174" s="92"/>
      <c r="M174" s="92"/>
      <c r="N174" s="92"/>
      <c r="O174" s="92"/>
      <c r="P174" s="92"/>
    </row>
    <row r="175" spans="1:16" ht="12.75">
      <c r="A175" s="90"/>
      <c r="B175" s="90"/>
      <c r="C175" s="90"/>
      <c r="D175" s="91"/>
      <c r="E175" s="92"/>
      <c r="F175" s="92"/>
      <c r="G175" s="92"/>
      <c r="H175" s="52"/>
      <c r="I175" s="52"/>
      <c r="J175" s="92"/>
      <c r="K175" s="92"/>
      <c r="L175" s="92"/>
      <c r="M175" s="92"/>
      <c r="N175" s="92"/>
      <c r="O175" s="92"/>
      <c r="P175" s="92"/>
    </row>
    <row r="176" spans="1:16" ht="12.75">
      <c r="A176" s="90"/>
      <c r="B176" s="90"/>
      <c r="C176" s="90"/>
      <c r="D176" s="91"/>
      <c r="E176" s="92"/>
      <c r="F176" s="92"/>
      <c r="G176" s="92"/>
      <c r="H176" s="52"/>
      <c r="I176" s="52"/>
      <c r="J176" s="92"/>
      <c r="K176" s="92"/>
      <c r="L176" s="92"/>
      <c r="M176" s="92"/>
      <c r="N176" s="92"/>
      <c r="O176" s="92"/>
      <c r="P176" s="92"/>
    </row>
    <row r="177" spans="1:16" ht="12.75">
      <c r="A177" s="90"/>
      <c r="B177" s="90"/>
      <c r="C177" s="90"/>
      <c r="D177" s="91"/>
      <c r="E177" s="92"/>
      <c r="F177" s="92"/>
      <c r="G177" s="92"/>
      <c r="H177" s="52"/>
      <c r="I177" s="52"/>
      <c r="J177" s="92"/>
      <c r="K177" s="92"/>
      <c r="L177" s="92"/>
      <c r="M177" s="92"/>
      <c r="N177" s="92"/>
      <c r="O177" s="92"/>
      <c r="P177" s="92"/>
    </row>
    <row r="178" spans="1:16" ht="12.75">
      <c r="A178" s="90"/>
      <c r="B178" s="90"/>
      <c r="C178" s="90"/>
      <c r="D178" s="91"/>
      <c r="E178" s="92"/>
      <c r="F178" s="92"/>
      <c r="G178" s="92"/>
      <c r="H178" s="52"/>
      <c r="I178" s="52"/>
      <c r="J178" s="92"/>
      <c r="K178" s="92"/>
      <c r="L178" s="92"/>
      <c r="M178" s="92"/>
      <c r="N178" s="92"/>
      <c r="O178" s="92"/>
      <c r="P178" s="92"/>
    </row>
    <row r="179" spans="1:16" ht="12.75">
      <c r="A179" s="90"/>
      <c r="B179" s="90"/>
      <c r="C179" s="90"/>
      <c r="D179" s="91"/>
      <c r="E179" s="92"/>
      <c r="F179" s="92"/>
      <c r="G179" s="92"/>
      <c r="H179" s="52"/>
      <c r="I179" s="52"/>
      <c r="J179" s="92"/>
      <c r="K179" s="92"/>
      <c r="L179" s="92"/>
      <c r="M179" s="92"/>
      <c r="N179" s="92"/>
      <c r="O179" s="92"/>
      <c r="P179" s="92"/>
    </row>
    <row r="180" spans="1:16" ht="12.75">
      <c r="A180" s="90"/>
      <c r="B180" s="90"/>
      <c r="C180" s="90"/>
      <c r="D180" s="91"/>
      <c r="E180" s="92"/>
      <c r="F180" s="92"/>
      <c r="G180" s="92"/>
      <c r="H180" s="52"/>
      <c r="I180" s="52"/>
      <c r="J180" s="92"/>
      <c r="K180" s="92"/>
      <c r="L180" s="92"/>
      <c r="M180" s="92"/>
      <c r="N180" s="92"/>
      <c r="O180" s="92"/>
      <c r="P180" s="92"/>
    </row>
    <row r="181" spans="1:16" ht="12.75">
      <c r="A181" s="90"/>
      <c r="B181" s="90"/>
      <c r="C181" s="90"/>
      <c r="D181" s="91"/>
      <c r="E181" s="92"/>
      <c r="F181" s="92"/>
      <c r="G181" s="92"/>
      <c r="H181" s="52"/>
      <c r="I181" s="52"/>
      <c r="J181" s="92"/>
      <c r="K181" s="92"/>
      <c r="L181" s="92"/>
      <c r="M181" s="92"/>
      <c r="N181" s="92"/>
      <c r="O181" s="92"/>
      <c r="P181" s="92"/>
    </row>
    <row r="182" spans="1:16" ht="12.75">
      <c r="A182" s="90"/>
      <c r="B182" s="90"/>
      <c r="C182" s="90"/>
      <c r="D182" s="91"/>
      <c r="E182" s="92"/>
      <c r="F182" s="92"/>
      <c r="G182" s="92"/>
      <c r="H182" s="52"/>
      <c r="I182" s="52"/>
      <c r="J182" s="92"/>
      <c r="K182" s="92"/>
      <c r="L182" s="92"/>
      <c r="M182" s="92"/>
      <c r="N182" s="92"/>
      <c r="O182" s="92"/>
      <c r="P182" s="92"/>
    </row>
    <row r="183" spans="1:16" ht="12.75">
      <c r="A183" s="90"/>
      <c r="B183" s="90"/>
      <c r="C183" s="90"/>
      <c r="D183" s="91"/>
      <c r="E183" s="92"/>
      <c r="F183" s="92"/>
      <c r="G183" s="92"/>
      <c r="H183" s="52"/>
      <c r="I183" s="52"/>
      <c r="J183" s="92"/>
      <c r="K183" s="92"/>
      <c r="L183" s="92"/>
      <c r="M183" s="92"/>
      <c r="N183" s="92"/>
      <c r="O183" s="92"/>
      <c r="P183" s="92"/>
    </row>
    <row r="184" spans="1:16" ht="12.75">
      <c r="A184" s="90"/>
      <c r="B184" s="90"/>
      <c r="C184" s="90"/>
      <c r="D184" s="91"/>
      <c r="E184" s="92"/>
      <c r="F184" s="92"/>
      <c r="G184" s="92"/>
      <c r="H184" s="52"/>
      <c r="I184" s="52"/>
      <c r="J184" s="92"/>
      <c r="K184" s="92"/>
      <c r="L184" s="92"/>
      <c r="M184" s="92"/>
      <c r="N184" s="92"/>
      <c r="O184" s="92"/>
      <c r="P184" s="92"/>
    </row>
    <row r="185" spans="1:16" ht="12.75">
      <c r="A185" s="90"/>
      <c r="B185" s="90"/>
      <c r="C185" s="90"/>
      <c r="D185" s="91"/>
      <c r="E185" s="92"/>
      <c r="F185" s="92"/>
      <c r="G185" s="92"/>
      <c r="H185" s="52"/>
      <c r="I185" s="52"/>
      <c r="J185" s="92"/>
      <c r="K185" s="92"/>
      <c r="L185" s="92"/>
      <c r="M185" s="92"/>
      <c r="N185" s="92"/>
      <c r="O185" s="92"/>
      <c r="P185" s="92"/>
    </row>
    <row r="186" spans="1:16" ht="12.75">
      <c r="A186" s="90"/>
      <c r="B186" s="90"/>
      <c r="C186" s="90"/>
      <c r="D186" s="91"/>
      <c r="E186" s="92"/>
      <c r="F186" s="92"/>
      <c r="G186" s="92"/>
      <c r="H186" s="52"/>
      <c r="I186" s="52"/>
      <c r="J186" s="92"/>
      <c r="K186" s="92"/>
      <c r="L186" s="92"/>
      <c r="M186" s="92"/>
      <c r="N186" s="92"/>
      <c r="O186" s="92"/>
      <c r="P186" s="92"/>
    </row>
    <row r="187" spans="1:16" ht="12.75">
      <c r="A187" s="90"/>
      <c r="B187" s="90"/>
      <c r="C187" s="90"/>
      <c r="D187" s="91"/>
      <c r="E187" s="92"/>
      <c r="F187" s="92"/>
      <c r="G187" s="92"/>
      <c r="H187" s="52"/>
      <c r="I187" s="52"/>
      <c r="J187" s="92"/>
      <c r="K187" s="92"/>
      <c r="L187" s="92"/>
      <c r="M187" s="92"/>
      <c r="N187" s="92"/>
      <c r="O187" s="92"/>
      <c r="P187" s="92"/>
    </row>
    <row r="188" spans="1:16" ht="12.75">
      <c r="A188" s="90"/>
      <c r="B188" s="90"/>
      <c r="C188" s="90"/>
      <c r="D188" s="91"/>
      <c r="E188" s="92"/>
      <c r="F188" s="92"/>
      <c r="G188" s="92"/>
      <c r="H188" s="52"/>
      <c r="I188" s="52"/>
      <c r="J188" s="92"/>
      <c r="K188" s="92"/>
      <c r="L188" s="92"/>
      <c r="M188" s="92"/>
      <c r="N188" s="92"/>
      <c r="O188" s="92"/>
      <c r="P188" s="92"/>
    </row>
    <row r="189" spans="1:16" ht="12.75">
      <c r="A189" s="90"/>
      <c r="B189" s="90"/>
      <c r="C189" s="90"/>
      <c r="D189" s="91"/>
      <c r="E189" s="92"/>
      <c r="F189" s="92"/>
      <c r="G189" s="92"/>
      <c r="H189" s="52"/>
      <c r="I189" s="52"/>
      <c r="J189" s="92"/>
      <c r="K189" s="92"/>
      <c r="L189" s="92"/>
      <c r="M189" s="92"/>
      <c r="N189" s="92"/>
      <c r="O189" s="92"/>
      <c r="P189" s="92"/>
    </row>
    <row r="190" spans="1:16" ht="12.75">
      <c r="A190" s="90"/>
      <c r="B190" s="90"/>
      <c r="C190" s="90"/>
      <c r="D190" s="91"/>
      <c r="E190" s="92"/>
      <c r="F190" s="92"/>
      <c r="G190" s="92"/>
      <c r="H190" s="52"/>
      <c r="I190" s="52"/>
      <c r="J190" s="92"/>
      <c r="K190" s="92"/>
      <c r="L190" s="92"/>
      <c r="M190" s="92"/>
      <c r="N190" s="92"/>
      <c r="O190" s="92"/>
      <c r="P190" s="92"/>
    </row>
    <row r="191" spans="1:16" ht="12.75">
      <c r="A191" s="90"/>
      <c r="B191" s="90"/>
      <c r="C191" s="90"/>
      <c r="D191" s="91"/>
      <c r="E191" s="92"/>
      <c r="F191" s="92"/>
      <c r="G191" s="92"/>
      <c r="H191" s="52"/>
      <c r="I191" s="52"/>
      <c r="J191" s="92"/>
      <c r="K191" s="92"/>
      <c r="L191" s="92"/>
      <c r="M191" s="92"/>
      <c r="N191" s="92"/>
      <c r="O191" s="92"/>
      <c r="P191" s="92"/>
    </row>
    <row r="192" spans="1:16" ht="12.75">
      <c r="A192" s="90"/>
      <c r="B192" s="90"/>
      <c r="C192" s="90"/>
      <c r="D192" s="91"/>
      <c r="E192" s="92"/>
      <c r="F192" s="92"/>
      <c r="G192" s="92"/>
      <c r="H192" s="52"/>
      <c r="I192" s="52"/>
      <c r="J192" s="92"/>
      <c r="K192" s="92"/>
      <c r="L192" s="92"/>
      <c r="M192" s="92"/>
      <c r="N192" s="92"/>
      <c r="O192" s="92"/>
      <c r="P192" s="92"/>
    </row>
    <row r="193" spans="1:16" ht="12.75">
      <c r="A193" s="90"/>
      <c r="B193" s="90"/>
      <c r="C193" s="90"/>
      <c r="D193" s="91"/>
      <c r="E193" s="92"/>
      <c r="F193" s="92"/>
      <c r="G193" s="92"/>
      <c r="H193" s="52"/>
      <c r="I193" s="52"/>
      <c r="J193" s="92"/>
      <c r="K193" s="92"/>
      <c r="L193" s="92"/>
      <c r="M193" s="92"/>
      <c r="N193" s="92"/>
      <c r="O193" s="92"/>
      <c r="P193" s="92"/>
    </row>
    <row r="194" spans="1:16" ht="12.75">
      <c r="A194" s="90"/>
      <c r="B194" s="90"/>
      <c r="C194" s="90"/>
      <c r="D194" s="91"/>
      <c r="E194" s="92"/>
      <c r="F194" s="92"/>
      <c r="G194" s="92"/>
      <c r="H194" s="52"/>
      <c r="I194" s="52"/>
      <c r="J194" s="92"/>
      <c r="K194" s="92"/>
      <c r="L194" s="92"/>
      <c r="M194" s="92"/>
      <c r="N194" s="92"/>
      <c r="O194" s="92"/>
      <c r="P194" s="92"/>
    </row>
    <row r="195" spans="1:16" ht="12.75">
      <c r="A195" s="90"/>
      <c r="B195" s="90"/>
      <c r="C195" s="90"/>
      <c r="D195" s="91"/>
      <c r="E195" s="92"/>
      <c r="F195" s="92"/>
      <c r="G195" s="92"/>
      <c r="H195" s="52"/>
      <c r="I195" s="52"/>
      <c r="J195" s="92"/>
      <c r="K195" s="92"/>
      <c r="L195" s="92"/>
      <c r="M195" s="92"/>
      <c r="N195" s="92"/>
      <c r="O195" s="92"/>
      <c r="P195" s="92"/>
    </row>
    <row r="196" spans="1:16" ht="12.75">
      <c r="A196" s="90"/>
      <c r="B196" s="90"/>
      <c r="C196" s="90"/>
      <c r="D196" s="91"/>
      <c r="E196" s="92"/>
      <c r="F196" s="92"/>
      <c r="G196" s="92"/>
      <c r="H196" s="52"/>
      <c r="I196" s="52"/>
      <c r="J196" s="92"/>
      <c r="K196" s="92"/>
      <c r="L196" s="92"/>
      <c r="M196" s="92"/>
      <c r="N196" s="92"/>
      <c r="O196" s="92"/>
      <c r="P196" s="92"/>
    </row>
    <row r="197" spans="1:16" ht="12.75">
      <c r="A197" s="90"/>
      <c r="B197" s="90"/>
      <c r="C197" s="90"/>
      <c r="D197" s="91"/>
      <c r="E197" s="92"/>
      <c r="F197" s="92"/>
      <c r="G197" s="92"/>
      <c r="H197" s="52"/>
      <c r="I197" s="52"/>
      <c r="J197" s="92"/>
      <c r="K197" s="92"/>
      <c r="L197" s="92"/>
      <c r="M197" s="92"/>
      <c r="N197" s="92"/>
      <c r="O197" s="92"/>
      <c r="P197" s="92"/>
    </row>
    <row r="198" spans="1:16" ht="12.75">
      <c r="A198" s="90"/>
      <c r="B198" s="90"/>
      <c r="C198" s="90"/>
      <c r="D198" s="91"/>
      <c r="E198" s="92"/>
      <c r="F198" s="92"/>
      <c r="G198" s="92"/>
      <c r="H198" s="52"/>
      <c r="I198" s="52"/>
      <c r="J198" s="92"/>
      <c r="K198" s="92"/>
      <c r="L198" s="92"/>
      <c r="M198" s="92"/>
      <c r="N198" s="92"/>
      <c r="O198" s="92"/>
      <c r="P198" s="92"/>
    </row>
    <row r="199" spans="1:16" ht="12.75">
      <c r="A199" s="90"/>
      <c r="B199" s="90"/>
      <c r="C199" s="90"/>
      <c r="D199" s="91"/>
      <c r="E199" s="92"/>
      <c r="F199" s="92"/>
      <c r="G199" s="92"/>
      <c r="H199" s="52"/>
      <c r="I199" s="52"/>
      <c r="J199" s="92"/>
      <c r="K199" s="92"/>
      <c r="L199" s="92"/>
      <c r="M199" s="92"/>
      <c r="N199" s="92"/>
      <c r="O199" s="92"/>
      <c r="P199" s="92"/>
    </row>
    <row r="200" spans="1:16" ht="12.75">
      <c r="A200" s="90"/>
      <c r="B200" s="90"/>
      <c r="C200" s="90"/>
      <c r="D200" s="91"/>
      <c r="E200" s="92"/>
      <c r="F200" s="92"/>
      <c r="G200" s="92"/>
      <c r="H200" s="52"/>
      <c r="I200" s="52"/>
      <c r="J200" s="92"/>
      <c r="K200" s="92"/>
      <c r="L200" s="92"/>
      <c r="M200" s="92"/>
      <c r="N200" s="92"/>
      <c r="O200" s="92"/>
      <c r="P200" s="92"/>
    </row>
    <row r="201" spans="1:16" ht="12.75">
      <c r="A201" s="90"/>
      <c r="B201" s="90"/>
      <c r="C201" s="90"/>
      <c r="D201" s="91"/>
      <c r="E201" s="92"/>
      <c r="F201" s="92"/>
      <c r="G201" s="92"/>
      <c r="H201" s="52"/>
      <c r="I201" s="52"/>
      <c r="J201" s="92"/>
      <c r="K201" s="92"/>
      <c r="L201" s="92"/>
      <c r="M201" s="92"/>
      <c r="N201" s="92"/>
      <c r="O201" s="92"/>
      <c r="P201" s="92"/>
    </row>
    <row r="202" spans="1:16" ht="12.75">
      <c r="A202" s="90"/>
      <c r="B202" s="90"/>
      <c r="C202" s="90"/>
      <c r="D202" s="91"/>
      <c r="E202" s="92"/>
      <c r="F202" s="92"/>
      <c r="G202" s="92"/>
      <c r="H202" s="52"/>
      <c r="I202" s="52"/>
      <c r="J202" s="92"/>
      <c r="K202" s="92"/>
      <c r="L202" s="92"/>
      <c r="M202" s="92"/>
      <c r="N202" s="92"/>
      <c r="O202" s="92"/>
      <c r="P202" s="92"/>
    </row>
    <row r="203" spans="1:16" ht="12.75">
      <c r="A203" s="90"/>
      <c r="B203" s="90"/>
      <c r="C203" s="90"/>
      <c r="D203" s="91"/>
      <c r="E203" s="92"/>
      <c r="F203" s="92"/>
      <c r="G203" s="92"/>
      <c r="H203" s="52"/>
      <c r="I203" s="52"/>
      <c r="J203" s="92"/>
      <c r="K203" s="92"/>
      <c r="L203" s="92"/>
      <c r="M203" s="92"/>
      <c r="N203" s="92"/>
      <c r="O203" s="92"/>
      <c r="P203" s="92"/>
    </row>
    <row r="204" spans="1:16" ht="12.75">
      <c r="A204" s="90"/>
      <c r="B204" s="90"/>
      <c r="C204" s="90"/>
      <c r="D204" s="91"/>
      <c r="E204" s="92"/>
      <c r="F204" s="92"/>
      <c r="G204" s="92"/>
      <c r="H204" s="52"/>
      <c r="I204" s="52"/>
      <c r="J204" s="92"/>
      <c r="K204" s="92"/>
      <c r="L204" s="92"/>
      <c r="M204" s="92"/>
      <c r="N204" s="92"/>
      <c r="O204" s="92"/>
      <c r="P204" s="92"/>
    </row>
    <row r="205" spans="1:16" ht="12.75">
      <c r="A205" s="90"/>
      <c r="B205" s="90"/>
      <c r="C205" s="90"/>
      <c r="D205" s="91"/>
      <c r="E205" s="92"/>
      <c r="F205" s="92"/>
      <c r="G205" s="92"/>
      <c r="H205" s="52"/>
      <c r="I205" s="52"/>
      <c r="J205" s="92"/>
      <c r="K205" s="92"/>
      <c r="L205" s="92"/>
      <c r="M205" s="92"/>
      <c r="N205" s="92"/>
      <c r="O205" s="92"/>
      <c r="P205" s="92"/>
    </row>
    <row r="206" spans="1:16" ht="12.75">
      <c r="A206" s="90"/>
      <c r="B206" s="90"/>
      <c r="C206" s="90"/>
      <c r="D206" s="91"/>
      <c r="E206" s="92"/>
      <c r="F206" s="92"/>
      <c r="G206" s="92"/>
      <c r="H206" s="52"/>
      <c r="I206" s="52"/>
      <c r="J206" s="92"/>
      <c r="K206" s="92"/>
      <c r="L206" s="92"/>
      <c r="M206" s="92"/>
      <c r="N206" s="92"/>
      <c r="O206" s="92"/>
      <c r="P206" s="92"/>
    </row>
    <row r="207" spans="1:16" ht="12.75">
      <c r="A207" s="90"/>
      <c r="B207" s="90"/>
      <c r="C207" s="90"/>
      <c r="D207" s="91"/>
      <c r="E207" s="92"/>
      <c r="F207" s="92"/>
      <c r="G207" s="92"/>
      <c r="H207" s="52"/>
      <c r="I207" s="52"/>
      <c r="J207" s="92"/>
      <c r="K207" s="92"/>
      <c r="L207" s="92"/>
      <c r="M207" s="92"/>
      <c r="N207" s="92"/>
      <c r="O207" s="92"/>
      <c r="P207" s="92"/>
    </row>
    <row r="208" spans="1:16" ht="12.75">
      <c r="A208" s="90"/>
      <c r="B208" s="90"/>
      <c r="C208" s="90"/>
      <c r="D208" s="91"/>
      <c r="E208" s="92"/>
      <c r="F208" s="92"/>
      <c r="G208" s="92"/>
      <c r="H208" s="52"/>
      <c r="I208" s="52"/>
      <c r="J208" s="92"/>
      <c r="K208" s="92"/>
      <c r="L208" s="92"/>
      <c r="M208" s="92"/>
      <c r="N208" s="92"/>
      <c r="O208" s="92"/>
      <c r="P208" s="92"/>
    </row>
    <row r="209" spans="1:16" ht="12.75">
      <c r="A209" s="90"/>
      <c r="B209" s="90"/>
      <c r="C209" s="90"/>
      <c r="D209" s="91"/>
      <c r="E209" s="92"/>
      <c r="F209" s="92"/>
      <c r="G209" s="92"/>
      <c r="H209" s="52"/>
      <c r="I209" s="52"/>
      <c r="J209" s="92"/>
      <c r="K209" s="92"/>
      <c r="L209" s="92"/>
      <c r="M209" s="92"/>
      <c r="N209" s="92"/>
      <c r="O209" s="92"/>
      <c r="P209" s="92"/>
    </row>
    <row r="210" spans="1:16" ht="12.75">
      <c r="A210" s="90"/>
      <c r="B210" s="90"/>
      <c r="C210" s="90"/>
      <c r="D210" s="91"/>
      <c r="E210" s="92"/>
      <c r="F210" s="92"/>
      <c r="G210" s="92"/>
      <c r="H210" s="52"/>
      <c r="I210" s="52"/>
      <c r="J210" s="92"/>
      <c r="K210" s="92"/>
      <c r="L210" s="92"/>
      <c r="M210" s="92"/>
      <c r="N210" s="92"/>
      <c r="O210" s="92"/>
      <c r="P210" s="92"/>
    </row>
    <row r="211" spans="1:16" ht="12.75">
      <c r="A211" s="90"/>
      <c r="B211" s="90"/>
      <c r="C211" s="90"/>
      <c r="D211" s="91"/>
      <c r="E211" s="92"/>
      <c r="F211" s="92"/>
      <c r="G211" s="92"/>
      <c r="H211" s="52"/>
      <c r="I211" s="52"/>
      <c r="J211" s="92"/>
      <c r="K211" s="92"/>
      <c r="L211" s="92"/>
      <c r="M211" s="92"/>
      <c r="N211" s="92"/>
      <c r="O211" s="92"/>
      <c r="P211" s="92"/>
    </row>
    <row r="212" spans="1:16" ht="12.75">
      <c r="A212" s="90"/>
      <c r="B212" s="90"/>
      <c r="C212" s="90"/>
      <c r="D212" s="91"/>
      <c r="E212" s="92"/>
      <c r="F212" s="92"/>
      <c r="G212" s="92"/>
      <c r="H212" s="52"/>
      <c r="I212" s="52"/>
      <c r="J212" s="92"/>
      <c r="K212" s="92"/>
      <c r="L212" s="92"/>
      <c r="M212" s="92"/>
      <c r="N212" s="92"/>
      <c r="O212" s="92"/>
      <c r="P212" s="92"/>
    </row>
    <row r="213" spans="1:16" ht="12.75">
      <c r="A213" s="90"/>
      <c r="B213" s="90"/>
      <c r="C213" s="90"/>
      <c r="D213" s="91"/>
      <c r="E213" s="92"/>
      <c r="F213" s="92"/>
      <c r="G213" s="92"/>
      <c r="H213" s="52"/>
      <c r="I213" s="52"/>
      <c r="J213" s="92"/>
      <c r="K213" s="92"/>
      <c r="L213" s="92"/>
      <c r="M213" s="92"/>
      <c r="N213" s="92"/>
      <c r="O213" s="92"/>
      <c r="P213" s="92"/>
    </row>
    <row r="214" spans="1:16" ht="12.75">
      <c r="A214" s="90"/>
      <c r="B214" s="90"/>
      <c r="C214" s="90"/>
      <c r="D214" s="91"/>
      <c r="E214" s="92"/>
      <c r="F214" s="92"/>
      <c r="G214" s="92"/>
      <c r="H214" s="52"/>
      <c r="I214" s="52"/>
      <c r="J214" s="92"/>
      <c r="K214" s="92"/>
      <c r="L214" s="92"/>
      <c r="M214" s="92"/>
      <c r="N214" s="92"/>
      <c r="O214" s="92"/>
      <c r="P214" s="92"/>
    </row>
    <row r="215" spans="1:16" ht="12.75">
      <c r="A215" s="90"/>
      <c r="B215" s="90"/>
      <c r="C215" s="90"/>
      <c r="D215" s="91"/>
      <c r="E215" s="92"/>
      <c r="F215" s="92"/>
      <c r="G215" s="92"/>
      <c r="H215" s="52"/>
      <c r="I215" s="52"/>
      <c r="J215" s="92"/>
      <c r="K215" s="92"/>
      <c r="L215" s="92"/>
      <c r="M215" s="92"/>
      <c r="N215" s="92"/>
      <c r="O215" s="92"/>
      <c r="P215" s="92"/>
    </row>
    <row r="216" spans="1:16" ht="12.75">
      <c r="A216" s="90"/>
      <c r="B216" s="90"/>
      <c r="C216" s="90"/>
      <c r="D216" s="91"/>
      <c r="E216" s="92"/>
      <c r="F216" s="92"/>
      <c r="G216" s="92"/>
      <c r="H216" s="52"/>
      <c r="I216" s="52"/>
      <c r="J216" s="92"/>
      <c r="K216" s="92"/>
      <c r="L216" s="92"/>
      <c r="M216" s="92"/>
      <c r="N216" s="92"/>
      <c r="O216" s="92"/>
      <c r="P216" s="92"/>
    </row>
    <row r="217" spans="1:16" ht="12.75">
      <c r="A217" s="90"/>
      <c r="B217" s="90"/>
      <c r="C217" s="90"/>
      <c r="D217" s="91"/>
      <c r="E217" s="92"/>
      <c r="F217" s="92"/>
      <c r="G217" s="92"/>
      <c r="H217" s="52"/>
      <c r="I217" s="52"/>
      <c r="J217" s="92"/>
      <c r="K217" s="92"/>
      <c r="L217" s="92"/>
      <c r="M217" s="92"/>
      <c r="N217" s="92"/>
      <c r="O217" s="92"/>
      <c r="P217" s="92"/>
    </row>
    <row r="218" spans="1:16" ht="12.75">
      <c r="A218" s="90"/>
      <c r="B218" s="90"/>
      <c r="C218" s="90"/>
      <c r="D218" s="91"/>
      <c r="E218" s="92"/>
      <c r="F218" s="92"/>
      <c r="G218" s="92"/>
      <c r="H218" s="52"/>
      <c r="I218" s="52"/>
      <c r="J218" s="92"/>
      <c r="K218" s="92"/>
      <c r="L218" s="92"/>
      <c r="M218" s="92"/>
      <c r="N218" s="92"/>
      <c r="O218" s="92"/>
      <c r="P218" s="92"/>
    </row>
    <row r="219" spans="1:16" ht="12.75">
      <c r="A219" s="90"/>
      <c r="B219" s="90"/>
      <c r="C219" s="90"/>
      <c r="D219" s="91"/>
      <c r="E219" s="92"/>
      <c r="F219" s="92"/>
      <c r="G219" s="92"/>
      <c r="H219" s="52"/>
      <c r="I219" s="52"/>
      <c r="J219" s="92"/>
      <c r="K219" s="92"/>
      <c r="L219" s="92"/>
      <c r="M219" s="92"/>
      <c r="N219" s="92"/>
      <c r="O219" s="92"/>
      <c r="P219" s="92"/>
    </row>
    <row r="220" spans="1:16" ht="12.75">
      <c r="A220" s="90"/>
      <c r="B220" s="90"/>
      <c r="C220" s="90"/>
      <c r="D220" s="91"/>
      <c r="E220" s="92"/>
      <c r="F220" s="92"/>
      <c r="G220" s="92"/>
      <c r="H220" s="52"/>
      <c r="I220" s="52"/>
      <c r="J220" s="92"/>
      <c r="K220" s="92"/>
      <c r="L220" s="92"/>
      <c r="M220" s="92"/>
      <c r="N220" s="92"/>
      <c r="O220" s="92"/>
      <c r="P220" s="92"/>
    </row>
    <row r="221" spans="1:16" ht="12.75">
      <c r="A221" s="90"/>
      <c r="B221" s="90"/>
      <c r="C221" s="90"/>
      <c r="D221" s="91"/>
      <c r="E221" s="92"/>
      <c r="F221" s="92"/>
      <c r="G221" s="92"/>
      <c r="H221" s="52"/>
      <c r="I221" s="52"/>
      <c r="J221" s="92"/>
      <c r="K221" s="92"/>
      <c r="L221" s="92"/>
      <c r="M221" s="92"/>
      <c r="N221" s="92"/>
      <c r="O221" s="92"/>
      <c r="P221" s="92"/>
    </row>
    <row r="222" spans="1:16" ht="12.75">
      <c r="A222" s="90"/>
      <c r="B222" s="90"/>
      <c r="C222" s="90"/>
      <c r="D222" s="91"/>
      <c r="E222" s="92"/>
      <c r="F222" s="92"/>
      <c r="G222" s="92"/>
      <c r="H222" s="52"/>
      <c r="I222" s="52"/>
      <c r="J222" s="92"/>
      <c r="K222" s="92"/>
      <c r="L222" s="92"/>
      <c r="M222" s="92"/>
      <c r="N222" s="92"/>
      <c r="O222" s="92"/>
      <c r="P222" s="92"/>
    </row>
    <row r="223" spans="1:16" ht="12.75">
      <c r="A223" s="90"/>
      <c r="B223" s="90"/>
      <c r="C223" s="90"/>
      <c r="D223" s="91"/>
      <c r="E223" s="92"/>
      <c r="F223" s="92"/>
      <c r="G223" s="92"/>
      <c r="H223" s="52"/>
      <c r="I223" s="52"/>
      <c r="J223" s="92"/>
      <c r="K223" s="92"/>
      <c r="L223" s="92"/>
      <c r="M223" s="92"/>
      <c r="N223" s="92"/>
      <c r="O223" s="92"/>
      <c r="P223" s="92"/>
    </row>
    <row r="224" spans="1:16" ht="12.75">
      <c r="A224" s="90"/>
      <c r="B224" s="90"/>
      <c r="C224" s="90"/>
      <c r="D224" s="91"/>
      <c r="E224" s="92"/>
      <c r="F224" s="92"/>
      <c r="G224" s="92"/>
      <c r="H224" s="52"/>
      <c r="I224" s="52"/>
      <c r="J224" s="92"/>
      <c r="K224" s="92"/>
      <c r="L224" s="92"/>
      <c r="M224" s="92"/>
      <c r="N224" s="92"/>
      <c r="O224" s="92"/>
      <c r="P224" s="92"/>
    </row>
    <row r="225" spans="1:16" ht="12.75">
      <c r="A225" s="90"/>
      <c r="B225" s="90"/>
      <c r="C225" s="90"/>
      <c r="D225" s="91"/>
      <c r="E225" s="92"/>
      <c r="F225" s="92"/>
      <c r="G225" s="92"/>
      <c r="H225" s="52"/>
      <c r="I225" s="52"/>
      <c r="J225" s="92"/>
      <c r="K225" s="92"/>
      <c r="L225" s="92"/>
      <c r="M225" s="92"/>
      <c r="N225" s="92"/>
      <c r="O225" s="92"/>
      <c r="P225" s="92"/>
    </row>
    <row r="226" spans="1:16" ht="12.75">
      <c r="A226" s="90"/>
      <c r="B226" s="90"/>
      <c r="C226" s="90"/>
      <c r="D226" s="91"/>
      <c r="E226" s="92"/>
      <c r="F226" s="92"/>
      <c r="G226" s="92"/>
      <c r="H226" s="52"/>
      <c r="I226" s="52"/>
      <c r="J226" s="92"/>
      <c r="K226" s="92"/>
      <c r="L226" s="92"/>
      <c r="M226" s="92"/>
      <c r="N226" s="92"/>
      <c r="O226" s="92"/>
      <c r="P226" s="92"/>
    </row>
    <row r="227" spans="1:16" ht="12.75">
      <c r="A227" s="90"/>
      <c r="B227" s="90"/>
      <c r="C227" s="90"/>
      <c r="D227" s="91"/>
      <c r="E227" s="92"/>
      <c r="F227" s="92"/>
      <c r="G227" s="92"/>
      <c r="H227" s="52"/>
      <c r="I227" s="52"/>
      <c r="J227" s="92"/>
      <c r="K227" s="92"/>
      <c r="L227" s="92"/>
      <c r="M227" s="92"/>
      <c r="N227" s="92"/>
      <c r="O227" s="92"/>
      <c r="P227" s="92"/>
    </row>
    <row r="228" spans="1:16" ht="12.75">
      <c r="A228" s="90"/>
      <c r="B228" s="90"/>
      <c r="C228" s="90"/>
      <c r="D228" s="91"/>
      <c r="E228" s="92"/>
      <c r="F228" s="92"/>
      <c r="G228" s="92"/>
      <c r="H228" s="52"/>
      <c r="I228" s="52"/>
      <c r="J228" s="92"/>
      <c r="K228" s="92"/>
      <c r="L228" s="92"/>
      <c r="M228" s="92"/>
      <c r="N228" s="92"/>
      <c r="O228" s="92"/>
      <c r="P228" s="92"/>
    </row>
    <row r="229" spans="1:16" ht="12.75">
      <c r="A229" s="90"/>
      <c r="B229" s="90"/>
      <c r="C229" s="90"/>
      <c r="D229" s="91"/>
      <c r="E229" s="92"/>
      <c r="F229" s="92"/>
      <c r="G229" s="92"/>
      <c r="H229" s="52"/>
      <c r="I229" s="52"/>
      <c r="J229" s="92"/>
      <c r="K229" s="92"/>
      <c r="L229" s="92"/>
      <c r="M229" s="92"/>
      <c r="N229" s="92"/>
      <c r="O229" s="92"/>
      <c r="P229" s="92"/>
    </row>
    <row r="230" spans="1:16" ht="12.75">
      <c r="A230" s="90"/>
      <c r="B230" s="90"/>
      <c r="C230" s="90"/>
      <c r="D230" s="91"/>
      <c r="E230" s="92"/>
      <c r="F230" s="92"/>
      <c r="G230" s="92"/>
      <c r="H230" s="52"/>
      <c r="I230" s="52"/>
      <c r="J230" s="92"/>
      <c r="K230" s="92"/>
      <c r="L230" s="92"/>
      <c r="M230" s="92"/>
      <c r="N230" s="92"/>
      <c r="O230" s="92"/>
      <c r="P230" s="92"/>
    </row>
    <row r="231" spans="1:16" ht="12.75">
      <c r="A231" s="90"/>
      <c r="B231" s="90"/>
      <c r="C231" s="90"/>
      <c r="D231" s="91"/>
      <c r="E231" s="92"/>
      <c r="F231" s="92"/>
      <c r="G231" s="92"/>
      <c r="H231" s="52"/>
      <c r="I231" s="52"/>
      <c r="J231" s="92"/>
      <c r="K231" s="92"/>
      <c r="L231" s="92"/>
      <c r="M231" s="92"/>
      <c r="N231" s="92"/>
      <c r="O231" s="92"/>
      <c r="P231" s="92"/>
    </row>
    <row r="232" spans="1:16" ht="12.75">
      <c r="A232" s="90"/>
      <c r="B232" s="90"/>
      <c r="C232" s="90"/>
      <c r="D232" s="91"/>
      <c r="E232" s="92"/>
      <c r="F232" s="92"/>
      <c r="G232" s="92"/>
      <c r="H232" s="52"/>
      <c r="I232" s="52"/>
      <c r="J232" s="92"/>
      <c r="K232" s="92"/>
      <c r="L232" s="92"/>
      <c r="M232" s="92"/>
      <c r="N232" s="92"/>
      <c r="O232" s="92"/>
      <c r="P232" s="92"/>
    </row>
    <row r="233" spans="1:16" ht="12.75">
      <c r="A233" s="90"/>
      <c r="B233" s="90"/>
      <c r="C233" s="90"/>
      <c r="D233" s="91"/>
      <c r="E233" s="92"/>
      <c r="F233" s="92"/>
      <c r="G233" s="92"/>
      <c r="H233" s="52"/>
      <c r="I233" s="52"/>
      <c r="J233" s="92"/>
      <c r="K233" s="92"/>
      <c r="L233" s="92"/>
      <c r="M233" s="92"/>
      <c r="N233" s="92"/>
      <c r="O233" s="92"/>
      <c r="P233" s="92"/>
    </row>
    <row r="234" spans="1:16" ht="12.75">
      <c r="A234" s="90"/>
      <c r="B234" s="90"/>
      <c r="C234" s="90"/>
      <c r="D234" s="91"/>
      <c r="E234" s="92"/>
      <c r="F234" s="92"/>
      <c r="G234" s="92"/>
      <c r="H234" s="52"/>
      <c r="I234" s="52"/>
      <c r="J234" s="92"/>
      <c r="K234" s="92"/>
      <c r="L234" s="92"/>
      <c r="M234" s="92"/>
      <c r="N234" s="92"/>
      <c r="O234" s="92"/>
      <c r="P234" s="92"/>
    </row>
    <row r="235" spans="1:16" ht="12.75">
      <c r="A235" s="90"/>
      <c r="B235" s="90"/>
      <c r="C235" s="90"/>
      <c r="D235" s="91"/>
      <c r="E235" s="92"/>
      <c r="F235" s="92"/>
      <c r="G235" s="92"/>
      <c r="H235" s="52"/>
      <c r="I235" s="52"/>
      <c r="J235" s="92"/>
      <c r="K235" s="92"/>
      <c r="L235" s="92"/>
      <c r="M235" s="92"/>
      <c r="N235" s="92"/>
      <c r="O235" s="92"/>
      <c r="P235" s="92"/>
    </row>
    <row r="236" spans="1:16" ht="12.75">
      <c r="A236" s="90"/>
      <c r="B236" s="90"/>
      <c r="C236" s="90"/>
      <c r="D236" s="91"/>
      <c r="E236" s="92"/>
      <c r="F236" s="92"/>
      <c r="G236" s="92"/>
      <c r="H236" s="52"/>
      <c r="I236" s="52"/>
      <c r="J236" s="92"/>
      <c r="K236" s="92"/>
      <c r="L236" s="92"/>
      <c r="M236" s="92"/>
      <c r="N236" s="92"/>
      <c r="O236" s="92"/>
      <c r="P236" s="92"/>
    </row>
    <row r="237" spans="1:16" ht="12.75">
      <c r="A237" s="90"/>
      <c r="B237" s="90"/>
      <c r="C237" s="90"/>
      <c r="D237" s="91"/>
      <c r="E237" s="92"/>
      <c r="F237" s="92"/>
      <c r="G237" s="92"/>
      <c r="H237" s="52"/>
      <c r="I237" s="52"/>
      <c r="J237" s="92"/>
      <c r="K237" s="92"/>
      <c r="L237" s="92"/>
      <c r="M237" s="92"/>
      <c r="N237" s="92"/>
      <c r="O237" s="92"/>
      <c r="P237" s="92"/>
    </row>
    <row r="238" spans="1:16" ht="12.75">
      <c r="A238" s="90"/>
      <c r="B238" s="90"/>
      <c r="C238" s="90"/>
      <c r="D238" s="91"/>
      <c r="E238" s="92"/>
      <c r="F238" s="92"/>
      <c r="G238" s="92"/>
      <c r="H238" s="52"/>
      <c r="I238" s="52"/>
      <c r="J238" s="92"/>
      <c r="K238" s="92"/>
      <c r="L238" s="92"/>
      <c r="M238" s="92"/>
      <c r="N238" s="92"/>
      <c r="O238" s="92"/>
      <c r="P238" s="92"/>
    </row>
    <row r="239" spans="1:16" ht="12.75">
      <c r="A239" s="90"/>
      <c r="B239" s="90"/>
      <c r="C239" s="90"/>
      <c r="D239" s="91"/>
      <c r="E239" s="92"/>
      <c r="F239" s="92"/>
      <c r="G239" s="92"/>
      <c r="H239" s="52"/>
      <c r="I239" s="52"/>
      <c r="J239" s="92"/>
      <c r="K239" s="92"/>
      <c r="L239" s="92"/>
      <c r="M239" s="92"/>
      <c r="N239" s="92"/>
      <c r="O239" s="92"/>
      <c r="P239" s="92"/>
    </row>
    <row r="240" spans="1:16" ht="12.75">
      <c r="A240" s="90"/>
      <c r="B240" s="90"/>
      <c r="C240" s="90"/>
      <c r="D240" s="91"/>
      <c r="E240" s="92"/>
      <c r="F240" s="92"/>
      <c r="G240" s="92"/>
      <c r="H240" s="52"/>
      <c r="I240" s="52"/>
      <c r="J240" s="92"/>
      <c r="K240" s="92"/>
      <c r="L240" s="92"/>
      <c r="M240" s="92"/>
      <c r="N240" s="92"/>
      <c r="O240" s="92"/>
      <c r="P240" s="92"/>
    </row>
    <row r="241" spans="1:16" ht="12.75">
      <c r="A241" s="90"/>
      <c r="B241" s="90"/>
      <c r="C241" s="90"/>
      <c r="D241" s="91"/>
      <c r="E241" s="92"/>
      <c r="F241" s="92"/>
      <c r="G241" s="92"/>
      <c r="H241" s="52"/>
      <c r="I241" s="52"/>
      <c r="J241" s="92"/>
      <c r="K241" s="92"/>
      <c r="L241" s="92"/>
      <c r="M241" s="92"/>
      <c r="N241" s="92"/>
      <c r="O241" s="92"/>
      <c r="P241" s="92"/>
    </row>
    <row r="242" spans="1:16" ht="12.75">
      <c r="A242" s="90"/>
      <c r="B242" s="90"/>
      <c r="C242" s="90"/>
      <c r="D242" s="91"/>
      <c r="E242" s="92"/>
      <c r="F242" s="92"/>
      <c r="G242" s="92"/>
      <c r="H242" s="52"/>
      <c r="I242" s="52"/>
      <c r="J242" s="92"/>
      <c r="K242" s="92"/>
      <c r="L242" s="92"/>
      <c r="M242" s="92"/>
      <c r="N242" s="92"/>
      <c r="O242" s="92"/>
      <c r="P242" s="92"/>
    </row>
    <row r="243" spans="1:16" ht="12.75">
      <c r="A243" s="90"/>
      <c r="B243" s="90"/>
      <c r="C243" s="90"/>
      <c r="D243" s="91"/>
      <c r="E243" s="92"/>
      <c r="F243" s="92"/>
      <c r="G243" s="92"/>
      <c r="H243" s="52"/>
      <c r="I243" s="52"/>
      <c r="J243" s="92"/>
      <c r="K243" s="92"/>
      <c r="L243" s="92"/>
      <c r="M243" s="92"/>
      <c r="N243" s="92"/>
      <c r="O243" s="92"/>
      <c r="P243" s="92"/>
    </row>
    <row r="244" spans="1:16" ht="12.75">
      <c r="A244" s="90"/>
      <c r="B244" s="90"/>
      <c r="C244" s="90"/>
      <c r="D244" s="91"/>
      <c r="E244" s="92"/>
      <c r="F244" s="92"/>
      <c r="G244" s="92"/>
      <c r="H244" s="52"/>
      <c r="I244" s="52"/>
      <c r="J244" s="92"/>
      <c r="K244" s="92"/>
      <c r="L244" s="92"/>
      <c r="M244" s="92"/>
      <c r="N244" s="92"/>
      <c r="O244" s="92"/>
      <c r="P244" s="92"/>
    </row>
    <row r="245" spans="1:16" ht="12.75">
      <c r="A245" s="90"/>
      <c r="B245" s="90"/>
      <c r="C245" s="90"/>
      <c r="D245" s="91"/>
      <c r="E245" s="92"/>
      <c r="F245" s="92"/>
      <c r="G245" s="92"/>
      <c r="H245" s="52"/>
      <c r="I245" s="52"/>
      <c r="J245" s="92"/>
      <c r="K245" s="92"/>
      <c r="L245" s="92"/>
      <c r="M245" s="92"/>
      <c r="N245" s="92"/>
      <c r="O245" s="92"/>
      <c r="P245" s="92"/>
    </row>
    <row r="246" spans="1:16" ht="12.75">
      <c r="A246" s="90"/>
      <c r="B246" s="90"/>
      <c r="C246" s="90"/>
      <c r="D246" s="91"/>
      <c r="E246" s="92"/>
      <c r="F246" s="92"/>
      <c r="G246" s="92"/>
      <c r="H246" s="52"/>
      <c r="I246" s="52"/>
      <c r="J246" s="92"/>
      <c r="K246" s="92"/>
      <c r="L246" s="92"/>
      <c r="M246" s="92"/>
      <c r="N246" s="92"/>
      <c r="O246" s="92"/>
      <c r="P246" s="92"/>
    </row>
    <row r="247" spans="1:16" ht="12.75">
      <c r="A247" s="90"/>
      <c r="B247" s="90"/>
      <c r="C247" s="90"/>
      <c r="D247" s="91"/>
      <c r="E247" s="92"/>
      <c r="F247" s="92"/>
      <c r="G247" s="92"/>
      <c r="H247" s="52"/>
      <c r="I247" s="52"/>
      <c r="J247" s="92"/>
      <c r="K247" s="92"/>
      <c r="L247" s="92"/>
      <c r="M247" s="92"/>
      <c r="N247" s="92"/>
      <c r="O247" s="92"/>
      <c r="P247" s="92"/>
    </row>
    <row r="248" spans="1:16" ht="12.75">
      <c r="A248" s="90"/>
      <c r="B248" s="90"/>
      <c r="C248" s="90"/>
      <c r="D248" s="91"/>
      <c r="E248" s="92"/>
      <c r="F248" s="92"/>
      <c r="G248" s="92"/>
      <c r="H248" s="52"/>
      <c r="I248" s="52"/>
      <c r="J248" s="92"/>
      <c r="K248" s="92"/>
      <c r="L248" s="92"/>
      <c r="M248" s="92"/>
      <c r="N248" s="92"/>
      <c r="O248" s="92"/>
      <c r="P248" s="92"/>
    </row>
    <row r="249" spans="1:16" ht="12.75">
      <c r="A249" s="90"/>
      <c r="B249" s="90"/>
      <c r="C249" s="90"/>
      <c r="D249" s="91"/>
      <c r="E249" s="92"/>
      <c r="F249" s="92"/>
      <c r="G249" s="92"/>
      <c r="H249" s="52"/>
      <c r="I249" s="52"/>
      <c r="J249" s="92"/>
      <c r="K249" s="92"/>
      <c r="L249" s="92"/>
      <c r="M249" s="92"/>
      <c r="N249" s="92"/>
      <c r="O249" s="92"/>
      <c r="P249" s="92"/>
    </row>
    <row r="250" spans="1:16" ht="12.75">
      <c r="A250" s="90"/>
      <c r="B250" s="90"/>
      <c r="C250" s="90"/>
      <c r="D250" s="91"/>
      <c r="E250" s="92"/>
      <c r="F250" s="92"/>
      <c r="G250" s="92"/>
      <c r="H250" s="52"/>
      <c r="I250" s="52"/>
      <c r="J250" s="92"/>
      <c r="K250" s="92"/>
      <c r="L250" s="92"/>
      <c r="M250" s="92"/>
      <c r="N250" s="92"/>
      <c r="O250" s="92"/>
      <c r="P250" s="92"/>
    </row>
    <row r="251" spans="1:16" ht="12.75">
      <c r="A251" s="90"/>
      <c r="B251" s="90"/>
      <c r="C251" s="90"/>
      <c r="D251" s="91"/>
      <c r="E251" s="92"/>
      <c r="F251" s="92"/>
      <c r="G251" s="92"/>
      <c r="H251" s="52"/>
      <c r="I251" s="52"/>
      <c r="J251" s="92"/>
      <c r="K251" s="92"/>
      <c r="L251" s="92"/>
      <c r="M251" s="92"/>
      <c r="N251" s="92"/>
      <c r="O251" s="92"/>
      <c r="P251" s="92"/>
    </row>
    <row r="252" spans="1:16" ht="12.75">
      <c r="A252" s="90"/>
      <c r="B252" s="90"/>
      <c r="C252" s="90"/>
      <c r="D252" s="91"/>
      <c r="E252" s="92"/>
      <c r="F252" s="92"/>
      <c r="G252" s="92"/>
      <c r="H252" s="52"/>
      <c r="I252" s="52"/>
      <c r="J252" s="92"/>
      <c r="K252" s="92"/>
      <c r="L252" s="92"/>
      <c r="M252" s="92"/>
      <c r="N252" s="92"/>
      <c r="O252" s="92"/>
      <c r="P252" s="92"/>
    </row>
    <row r="253" spans="1:16" ht="12.75">
      <c r="A253" s="90"/>
      <c r="B253" s="90"/>
      <c r="C253" s="90"/>
      <c r="D253" s="91"/>
      <c r="E253" s="92"/>
      <c r="F253" s="92"/>
      <c r="G253" s="92"/>
      <c r="H253" s="52"/>
      <c r="I253" s="52"/>
      <c r="J253" s="92"/>
      <c r="K253" s="92"/>
      <c r="L253" s="92"/>
      <c r="M253" s="92"/>
      <c r="N253" s="92"/>
      <c r="O253" s="92"/>
      <c r="P253" s="92"/>
    </row>
    <row r="254" spans="1:16" ht="12.75">
      <c r="A254" s="90"/>
      <c r="B254" s="90"/>
      <c r="C254" s="90"/>
      <c r="D254" s="91"/>
      <c r="E254" s="92"/>
      <c r="F254" s="92"/>
      <c r="G254" s="92"/>
      <c r="H254" s="52"/>
      <c r="I254" s="52"/>
      <c r="J254" s="92"/>
      <c r="K254" s="92"/>
      <c r="L254" s="92"/>
      <c r="M254" s="92"/>
      <c r="N254" s="92"/>
      <c r="O254" s="92"/>
      <c r="P254" s="92"/>
    </row>
    <row r="255" spans="1:16" ht="12.75">
      <c r="A255" s="90"/>
      <c r="B255" s="90"/>
      <c r="C255" s="90"/>
      <c r="D255" s="91"/>
      <c r="E255" s="92"/>
      <c r="F255" s="92"/>
      <c r="G255" s="92"/>
      <c r="H255" s="52"/>
      <c r="I255" s="52"/>
      <c r="J255" s="92"/>
      <c r="K255" s="92"/>
      <c r="L255" s="92"/>
      <c r="M255" s="92"/>
      <c r="N255" s="92"/>
      <c r="O255" s="92"/>
      <c r="P255" s="92"/>
    </row>
    <row r="256" spans="1:16" ht="12.75">
      <c r="A256" s="90"/>
      <c r="B256" s="90"/>
      <c r="C256" s="90"/>
      <c r="D256" s="91"/>
      <c r="E256" s="92"/>
      <c r="F256" s="92"/>
      <c r="G256" s="92"/>
      <c r="H256" s="52"/>
      <c r="I256" s="52"/>
      <c r="J256" s="92"/>
      <c r="K256" s="92"/>
      <c r="L256" s="92"/>
      <c r="M256" s="92"/>
      <c r="N256" s="92"/>
      <c r="O256" s="92"/>
      <c r="P256" s="92"/>
    </row>
    <row r="257" spans="1:16" ht="12.75">
      <c r="A257" s="90"/>
      <c r="B257" s="90"/>
      <c r="C257" s="90"/>
      <c r="D257" s="91"/>
      <c r="E257" s="92"/>
      <c r="F257" s="92"/>
      <c r="G257" s="92"/>
      <c r="H257" s="52"/>
      <c r="I257" s="52"/>
      <c r="J257" s="92"/>
      <c r="K257" s="92"/>
      <c r="L257" s="92"/>
      <c r="M257" s="92"/>
      <c r="N257" s="92"/>
      <c r="O257" s="92"/>
      <c r="P257" s="92"/>
    </row>
    <row r="258" spans="1:16" ht="12.75">
      <c r="A258" s="90"/>
      <c r="B258" s="90"/>
      <c r="C258" s="90"/>
      <c r="D258" s="91"/>
      <c r="E258" s="92"/>
      <c r="F258" s="92"/>
      <c r="G258" s="92"/>
      <c r="H258" s="52"/>
      <c r="I258" s="52"/>
      <c r="J258" s="92"/>
      <c r="K258" s="92"/>
      <c r="L258" s="92"/>
      <c r="M258" s="92"/>
      <c r="N258" s="92"/>
      <c r="O258" s="92"/>
      <c r="P258" s="92"/>
    </row>
    <row r="259" spans="1:16" ht="12.75">
      <c r="A259" s="90"/>
      <c r="B259" s="90"/>
      <c r="C259" s="90"/>
      <c r="D259" s="91"/>
      <c r="E259" s="92"/>
      <c r="F259" s="92"/>
      <c r="G259" s="92"/>
      <c r="H259" s="52"/>
      <c r="I259" s="52"/>
      <c r="J259" s="92"/>
      <c r="K259" s="92"/>
      <c r="L259" s="92"/>
      <c r="M259" s="92"/>
      <c r="N259" s="92"/>
      <c r="O259" s="92"/>
      <c r="P259" s="92"/>
    </row>
    <row r="260" spans="1:16" ht="12.75">
      <c r="A260" s="90"/>
      <c r="B260" s="90"/>
      <c r="C260" s="90"/>
      <c r="D260" s="91"/>
      <c r="E260" s="92"/>
      <c r="F260" s="92"/>
      <c r="G260" s="92"/>
      <c r="H260" s="52"/>
      <c r="I260" s="52"/>
      <c r="J260" s="92"/>
      <c r="K260" s="92"/>
      <c r="L260" s="92"/>
      <c r="M260" s="92"/>
      <c r="N260" s="92"/>
      <c r="O260" s="92"/>
      <c r="P260" s="92"/>
    </row>
    <row r="261" spans="1:16" ht="12.75">
      <c r="A261" s="90"/>
      <c r="B261" s="90"/>
      <c r="C261" s="90"/>
      <c r="D261" s="91"/>
      <c r="E261" s="92"/>
      <c r="F261" s="92"/>
      <c r="G261" s="92"/>
      <c r="H261" s="52"/>
      <c r="I261" s="52"/>
      <c r="J261" s="92"/>
      <c r="K261" s="92"/>
      <c r="L261" s="92"/>
      <c r="M261" s="92"/>
      <c r="N261" s="92"/>
      <c r="O261" s="92"/>
      <c r="P261" s="92"/>
    </row>
    <row r="262" spans="1:16" ht="12.75">
      <c r="A262" s="90"/>
      <c r="B262" s="90"/>
      <c r="C262" s="90"/>
      <c r="D262" s="91"/>
      <c r="E262" s="92"/>
      <c r="F262" s="92"/>
      <c r="G262" s="92"/>
      <c r="H262" s="52"/>
      <c r="I262" s="52"/>
      <c r="J262" s="92"/>
      <c r="K262" s="92"/>
      <c r="L262" s="92"/>
      <c r="M262" s="92"/>
      <c r="N262" s="92"/>
      <c r="O262" s="92"/>
      <c r="P262" s="92"/>
    </row>
    <row r="263" spans="1:16" ht="12.75">
      <c r="A263" s="90"/>
      <c r="B263" s="90"/>
      <c r="C263" s="90"/>
      <c r="D263" s="91"/>
      <c r="E263" s="92"/>
      <c r="F263" s="92"/>
      <c r="G263" s="92"/>
      <c r="H263" s="52"/>
      <c r="I263" s="52"/>
      <c r="J263" s="92"/>
      <c r="K263" s="92"/>
      <c r="L263" s="92"/>
      <c r="M263" s="92"/>
      <c r="N263" s="92"/>
      <c r="O263" s="92"/>
      <c r="P263" s="92"/>
    </row>
    <row r="264" spans="1:16" ht="12.75">
      <c r="A264" s="90"/>
      <c r="B264" s="90"/>
      <c r="C264" s="90"/>
      <c r="D264" s="91"/>
      <c r="E264" s="92"/>
      <c r="F264" s="92"/>
      <c r="G264" s="92"/>
      <c r="H264" s="52"/>
      <c r="I264" s="52"/>
      <c r="J264" s="92"/>
      <c r="K264" s="92"/>
      <c r="L264" s="92"/>
      <c r="M264" s="92"/>
      <c r="N264" s="92"/>
      <c r="O264" s="92"/>
      <c r="P264" s="92"/>
    </row>
    <row r="265" spans="1:16" ht="12.75">
      <c r="A265" s="90"/>
      <c r="B265" s="90"/>
      <c r="C265" s="90"/>
      <c r="D265" s="91"/>
      <c r="E265" s="92"/>
      <c r="F265" s="92"/>
      <c r="G265" s="92"/>
      <c r="H265" s="52"/>
      <c r="I265" s="52"/>
      <c r="J265" s="92"/>
      <c r="K265" s="92"/>
      <c r="L265" s="92"/>
      <c r="M265" s="92"/>
      <c r="N265" s="92"/>
      <c r="O265" s="92"/>
      <c r="P265" s="92"/>
    </row>
    <row r="266" spans="1:16" ht="12.75">
      <c r="A266" s="90"/>
      <c r="B266" s="90"/>
      <c r="C266" s="90"/>
      <c r="D266" s="91"/>
      <c r="E266" s="92"/>
      <c r="F266" s="92"/>
      <c r="G266" s="92"/>
      <c r="H266" s="52"/>
      <c r="I266" s="52"/>
      <c r="J266" s="92"/>
      <c r="K266" s="92"/>
      <c r="L266" s="92"/>
      <c r="M266" s="92"/>
      <c r="N266" s="92"/>
      <c r="O266" s="92"/>
      <c r="P266" s="92"/>
    </row>
    <row r="267" spans="1:16" ht="12.75">
      <c r="A267" s="90"/>
      <c r="B267" s="90"/>
      <c r="C267" s="90"/>
      <c r="D267" s="91"/>
      <c r="E267" s="92"/>
      <c r="F267" s="92"/>
      <c r="G267" s="92"/>
      <c r="H267" s="52"/>
      <c r="I267" s="52"/>
      <c r="J267" s="92"/>
      <c r="K267" s="92"/>
      <c r="L267" s="92"/>
      <c r="M267" s="92"/>
      <c r="N267" s="92"/>
      <c r="O267" s="92"/>
      <c r="P267" s="92"/>
    </row>
    <row r="268" spans="1:16" ht="12.75">
      <c r="A268" s="90"/>
      <c r="B268" s="90"/>
      <c r="C268" s="90"/>
      <c r="D268" s="91"/>
      <c r="E268" s="92"/>
      <c r="F268" s="92"/>
      <c r="G268" s="92"/>
      <c r="H268" s="52"/>
      <c r="I268" s="52"/>
      <c r="J268" s="92"/>
      <c r="K268" s="92"/>
      <c r="L268" s="92"/>
      <c r="M268" s="92"/>
      <c r="N268" s="92"/>
      <c r="O268" s="92"/>
      <c r="P268" s="92"/>
    </row>
    <row r="269" spans="1:16" ht="12.75">
      <c r="A269" s="90"/>
      <c r="B269" s="90"/>
      <c r="C269" s="90"/>
      <c r="D269" s="91"/>
      <c r="E269" s="92"/>
      <c r="F269" s="92"/>
      <c r="G269" s="92"/>
      <c r="H269" s="52"/>
      <c r="I269" s="52"/>
      <c r="J269" s="92"/>
      <c r="K269" s="92"/>
      <c r="L269" s="92"/>
      <c r="M269" s="92"/>
      <c r="N269" s="92"/>
      <c r="O269" s="92"/>
      <c r="P269" s="92"/>
    </row>
    <row r="270" spans="1:16" ht="12.75">
      <c r="A270" s="90"/>
      <c r="B270" s="90"/>
      <c r="C270" s="90"/>
      <c r="D270" s="91"/>
      <c r="E270" s="92"/>
      <c r="F270" s="92"/>
      <c r="G270" s="92"/>
      <c r="H270" s="52"/>
      <c r="I270" s="52"/>
      <c r="J270" s="92"/>
      <c r="K270" s="92"/>
      <c r="L270" s="92"/>
      <c r="M270" s="92"/>
      <c r="N270" s="92"/>
      <c r="O270" s="92"/>
      <c r="P270" s="92"/>
    </row>
    <row r="271" spans="1:16" ht="12.75">
      <c r="A271" s="90"/>
      <c r="B271" s="90"/>
      <c r="C271" s="90"/>
      <c r="D271" s="91"/>
      <c r="E271" s="92"/>
      <c r="F271" s="92"/>
      <c r="G271" s="92"/>
      <c r="H271" s="52"/>
      <c r="I271" s="52"/>
      <c r="J271" s="92"/>
      <c r="K271" s="92"/>
      <c r="L271" s="92"/>
      <c r="M271" s="92"/>
      <c r="N271" s="92"/>
      <c r="O271" s="92"/>
      <c r="P271" s="92"/>
    </row>
    <row r="272" spans="1:16" ht="12.75">
      <c r="A272" s="90"/>
      <c r="B272" s="90"/>
      <c r="C272" s="90"/>
      <c r="D272" s="91"/>
      <c r="E272" s="92"/>
      <c r="F272" s="92"/>
      <c r="G272" s="92"/>
      <c r="H272" s="52"/>
      <c r="I272" s="52"/>
      <c r="J272" s="92"/>
      <c r="K272" s="92"/>
      <c r="L272" s="92"/>
      <c r="M272" s="92"/>
      <c r="N272" s="92"/>
      <c r="O272" s="92"/>
      <c r="P272" s="92"/>
    </row>
    <row r="273" spans="1:16" ht="12.75">
      <c r="A273" s="90"/>
      <c r="B273" s="90"/>
      <c r="C273" s="90"/>
      <c r="D273" s="91"/>
      <c r="E273" s="92"/>
      <c r="F273" s="92"/>
      <c r="G273" s="92"/>
      <c r="H273" s="52"/>
      <c r="I273" s="52"/>
      <c r="J273" s="92"/>
      <c r="K273" s="92"/>
      <c r="L273" s="92"/>
      <c r="M273" s="92"/>
      <c r="N273" s="92"/>
      <c r="O273" s="92"/>
      <c r="P273" s="92"/>
    </row>
    <row r="274" spans="1:16" ht="12.75">
      <c r="A274" s="90"/>
      <c r="B274" s="90"/>
      <c r="C274" s="90"/>
      <c r="D274" s="91"/>
      <c r="E274" s="92"/>
      <c r="F274" s="92"/>
      <c r="G274" s="92"/>
      <c r="H274" s="52"/>
      <c r="I274" s="52"/>
      <c r="J274" s="92"/>
      <c r="K274" s="92"/>
      <c r="L274" s="92"/>
      <c r="M274" s="92"/>
      <c r="N274" s="92"/>
      <c r="O274" s="92"/>
      <c r="P274" s="92"/>
    </row>
    <row r="275" spans="1:16" ht="12.75">
      <c r="A275" s="90"/>
      <c r="B275" s="90"/>
      <c r="C275" s="90"/>
      <c r="D275" s="91"/>
      <c r="E275" s="92"/>
      <c r="F275" s="92"/>
      <c r="G275" s="92"/>
      <c r="H275" s="52"/>
      <c r="I275" s="52"/>
      <c r="J275" s="92"/>
      <c r="K275" s="92"/>
      <c r="L275" s="92"/>
      <c r="M275" s="92"/>
      <c r="N275" s="92"/>
      <c r="O275" s="92"/>
      <c r="P275" s="92"/>
    </row>
    <row r="276" spans="1:16" ht="12.75">
      <c r="A276" s="90"/>
      <c r="B276" s="90"/>
      <c r="C276" s="90"/>
      <c r="D276" s="91"/>
      <c r="E276" s="92"/>
      <c r="F276" s="92"/>
      <c r="G276" s="92"/>
      <c r="H276" s="52"/>
      <c r="I276" s="52"/>
      <c r="J276" s="92"/>
      <c r="K276" s="92"/>
      <c r="L276" s="92"/>
      <c r="M276" s="92"/>
      <c r="N276" s="92"/>
      <c r="O276" s="92"/>
      <c r="P276" s="92"/>
    </row>
    <row r="277" spans="1:16" ht="12.75">
      <c r="A277" s="90"/>
      <c r="B277" s="90"/>
      <c r="C277" s="90"/>
      <c r="D277" s="91"/>
      <c r="E277" s="92"/>
      <c r="F277" s="92"/>
      <c r="G277" s="92"/>
      <c r="H277" s="52"/>
      <c r="I277" s="52"/>
      <c r="J277" s="92"/>
      <c r="K277" s="92"/>
      <c r="L277" s="92"/>
      <c r="M277" s="92"/>
      <c r="N277" s="92"/>
      <c r="O277" s="92"/>
      <c r="P277" s="92"/>
    </row>
    <row r="278" spans="1:16" ht="12.75">
      <c r="A278" s="90"/>
      <c r="B278" s="90"/>
      <c r="C278" s="90"/>
      <c r="D278" s="91"/>
      <c r="E278" s="92"/>
      <c r="F278" s="92"/>
      <c r="G278" s="92"/>
      <c r="H278" s="52"/>
      <c r="I278" s="52"/>
      <c r="J278" s="92"/>
      <c r="K278" s="92"/>
      <c r="L278" s="92"/>
      <c r="M278" s="92"/>
      <c r="N278" s="92"/>
      <c r="O278" s="92"/>
      <c r="P278" s="92"/>
    </row>
    <row r="279" spans="1:16" ht="12.75">
      <c r="A279" s="90"/>
      <c r="B279" s="90"/>
      <c r="C279" s="90"/>
      <c r="D279" s="91"/>
      <c r="E279" s="92"/>
      <c r="F279" s="92"/>
      <c r="G279" s="92"/>
      <c r="H279" s="52"/>
      <c r="I279" s="52"/>
      <c r="J279" s="92"/>
      <c r="K279" s="92"/>
      <c r="L279" s="92"/>
      <c r="M279" s="92"/>
      <c r="N279" s="92"/>
      <c r="O279" s="92"/>
      <c r="P279" s="92"/>
    </row>
    <row r="280" spans="1:16" ht="12.75">
      <c r="A280" s="90"/>
      <c r="B280" s="90"/>
      <c r="C280" s="90"/>
      <c r="D280" s="91"/>
      <c r="E280" s="92"/>
      <c r="F280" s="92"/>
      <c r="G280" s="92"/>
      <c r="H280" s="52"/>
      <c r="I280" s="52"/>
      <c r="J280" s="92"/>
      <c r="K280" s="92"/>
      <c r="L280" s="92"/>
      <c r="M280" s="92"/>
      <c r="N280" s="92"/>
      <c r="O280" s="92"/>
      <c r="P280" s="92"/>
    </row>
    <row r="281" spans="1:16" ht="12.75">
      <c r="A281" s="90"/>
      <c r="B281" s="90"/>
      <c r="C281" s="90"/>
      <c r="D281" s="91"/>
      <c r="E281" s="92"/>
      <c r="F281" s="92"/>
      <c r="G281" s="92"/>
      <c r="H281" s="52"/>
      <c r="I281" s="52"/>
      <c r="J281" s="92"/>
      <c r="K281" s="92"/>
      <c r="L281" s="92"/>
      <c r="M281" s="92"/>
      <c r="N281" s="92"/>
      <c r="O281" s="92"/>
      <c r="P281" s="92"/>
    </row>
    <row r="282" spans="1:16" ht="12.75">
      <c r="A282" s="90"/>
      <c r="B282" s="90"/>
      <c r="C282" s="90"/>
      <c r="D282" s="91"/>
      <c r="E282" s="92"/>
      <c r="F282" s="92"/>
      <c r="G282" s="92"/>
      <c r="H282" s="52"/>
      <c r="I282" s="52"/>
      <c r="J282" s="92"/>
      <c r="K282" s="92"/>
      <c r="L282" s="92"/>
      <c r="M282" s="92"/>
      <c r="N282" s="92"/>
      <c r="O282" s="92"/>
      <c r="P282" s="92"/>
    </row>
    <row r="283" spans="1:16" ht="12.75">
      <c r="A283" s="90"/>
      <c r="B283" s="90"/>
      <c r="C283" s="90"/>
      <c r="D283" s="91"/>
      <c r="E283" s="92"/>
      <c r="F283" s="92"/>
      <c r="G283" s="92"/>
      <c r="H283" s="52"/>
      <c r="I283" s="52"/>
      <c r="J283" s="92"/>
      <c r="K283" s="92"/>
      <c r="L283" s="92"/>
      <c r="M283" s="92"/>
      <c r="N283" s="92"/>
      <c r="O283" s="92"/>
      <c r="P283" s="92"/>
    </row>
    <row r="284" spans="1:16" ht="12.75">
      <c r="A284" s="90"/>
      <c r="B284" s="90"/>
      <c r="C284" s="90"/>
      <c r="D284" s="91"/>
      <c r="E284" s="92"/>
      <c r="F284" s="92"/>
      <c r="G284" s="92"/>
      <c r="H284" s="52"/>
      <c r="I284" s="52"/>
      <c r="J284" s="92"/>
      <c r="K284" s="92"/>
      <c r="L284" s="92"/>
      <c r="M284" s="92"/>
      <c r="N284" s="92"/>
      <c r="O284" s="92"/>
      <c r="P284" s="92"/>
    </row>
    <row r="285" spans="1:16" ht="12.75">
      <c r="A285" s="90"/>
      <c r="B285" s="90"/>
      <c r="C285" s="90"/>
      <c r="D285" s="91"/>
      <c r="E285" s="92"/>
      <c r="F285" s="92"/>
      <c r="G285" s="92"/>
      <c r="H285" s="52"/>
      <c r="I285" s="52"/>
      <c r="J285" s="92"/>
      <c r="K285" s="92"/>
      <c r="L285" s="92"/>
      <c r="M285" s="92"/>
      <c r="N285" s="92"/>
      <c r="O285" s="92"/>
      <c r="P285" s="92"/>
    </row>
    <row r="286" spans="1:16" ht="12.75">
      <c r="A286" s="90"/>
      <c r="B286" s="90"/>
      <c r="C286" s="90"/>
      <c r="D286" s="91"/>
      <c r="E286" s="92"/>
      <c r="F286" s="92"/>
      <c r="G286" s="92"/>
      <c r="H286" s="52"/>
      <c r="I286" s="52"/>
      <c r="J286" s="92"/>
      <c r="K286" s="92"/>
      <c r="L286" s="92"/>
      <c r="M286" s="92"/>
      <c r="N286" s="92"/>
      <c r="O286" s="92"/>
      <c r="P286" s="92"/>
    </row>
    <row r="287" spans="1:16" ht="12.75">
      <c r="A287" s="90"/>
      <c r="B287" s="90"/>
      <c r="C287" s="90"/>
      <c r="D287" s="91"/>
      <c r="E287" s="92"/>
      <c r="F287" s="92"/>
      <c r="G287" s="92"/>
      <c r="H287" s="52"/>
      <c r="I287" s="52"/>
      <c r="J287" s="92"/>
      <c r="K287" s="92"/>
      <c r="L287" s="92"/>
      <c r="M287" s="92"/>
      <c r="N287" s="92"/>
      <c r="O287" s="92"/>
      <c r="P287" s="92"/>
    </row>
    <row r="288" spans="1:16" ht="12.75">
      <c r="A288" s="90"/>
      <c r="B288" s="90"/>
      <c r="C288" s="90"/>
      <c r="D288" s="91"/>
      <c r="E288" s="92"/>
      <c r="F288" s="92"/>
      <c r="G288" s="92"/>
      <c r="H288" s="52"/>
      <c r="I288" s="52"/>
      <c r="J288" s="92"/>
      <c r="K288" s="92"/>
      <c r="L288" s="92"/>
      <c r="M288" s="92"/>
      <c r="N288" s="92"/>
      <c r="O288" s="92"/>
      <c r="P288" s="92"/>
    </row>
    <row r="289" spans="1:16" ht="12.75">
      <c r="A289" s="90"/>
      <c r="B289" s="90"/>
      <c r="C289" s="90"/>
      <c r="D289" s="91"/>
      <c r="E289" s="92"/>
      <c r="F289" s="92"/>
      <c r="G289" s="92"/>
      <c r="H289" s="52"/>
      <c r="I289" s="52"/>
      <c r="J289" s="92"/>
      <c r="K289" s="92"/>
      <c r="L289" s="92"/>
      <c r="M289" s="92"/>
      <c r="N289" s="92"/>
      <c r="O289" s="92"/>
      <c r="P289" s="92"/>
    </row>
    <row r="290" spans="1:16" ht="12.75">
      <c r="A290" s="90"/>
      <c r="B290" s="90"/>
      <c r="C290" s="90"/>
      <c r="D290" s="91"/>
      <c r="E290" s="92"/>
      <c r="F290" s="92"/>
      <c r="G290" s="92"/>
      <c r="H290" s="52"/>
      <c r="I290" s="52"/>
      <c r="J290" s="92"/>
      <c r="K290" s="92"/>
      <c r="L290" s="92"/>
      <c r="M290" s="92"/>
      <c r="N290" s="92"/>
      <c r="O290" s="92"/>
      <c r="P290" s="92"/>
    </row>
    <row r="291" spans="1:16" ht="12.75">
      <c r="A291" s="90"/>
      <c r="B291" s="90"/>
      <c r="C291" s="90"/>
      <c r="D291" s="91"/>
      <c r="E291" s="92"/>
      <c r="F291" s="92"/>
      <c r="G291" s="92"/>
      <c r="H291" s="52"/>
      <c r="I291" s="52"/>
      <c r="J291" s="92"/>
      <c r="K291" s="92"/>
      <c r="L291" s="92"/>
      <c r="M291" s="92"/>
      <c r="N291" s="92"/>
      <c r="O291" s="92"/>
      <c r="P291" s="92"/>
    </row>
    <row r="292" spans="1:16" ht="12.75">
      <c r="A292" s="90"/>
      <c r="B292" s="90"/>
      <c r="C292" s="90"/>
      <c r="D292" s="91"/>
      <c r="E292" s="92"/>
      <c r="F292" s="92"/>
      <c r="G292" s="92"/>
      <c r="H292" s="52"/>
      <c r="I292" s="52"/>
      <c r="J292" s="92"/>
      <c r="K292" s="92"/>
      <c r="L292" s="92"/>
      <c r="M292" s="92"/>
      <c r="N292" s="92"/>
      <c r="O292" s="92"/>
      <c r="P292" s="92"/>
    </row>
    <row r="293" spans="1:16" ht="12.75">
      <c r="A293" s="90"/>
      <c r="B293" s="90"/>
      <c r="C293" s="90"/>
      <c r="D293" s="91"/>
      <c r="E293" s="92"/>
      <c r="F293" s="92"/>
      <c r="G293" s="92"/>
      <c r="H293" s="52"/>
      <c r="I293" s="52"/>
      <c r="J293" s="92"/>
      <c r="K293" s="92"/>
      <c r="L293" s="92"/>
      <c r="M293" s="92"/>
      <c r="N293" s="92"/>
      <c r="O293" s="92"/>
      <c r="P293" s="92"/>
    </row>
    <row r="294" spans="1:16" ht="12.75">
      <c r="A294" s="90"/>
      <c r="B294" s="90"/>
      <c r="C294" s="90"/>
      <c r="D294" s="91"/>
      <c r="E294" s="92"/>
      <c r="F294" s="92"/>
      <c r="G294" s="92"/>
      <c r="H294" s="52"/>
      <c r="I294" s="52"/>
      <c r="J294" s="92"/>
      <c r="K294" s="92"/>
      <c r="L294" s="92"/>
      <c r="M294" s="92"/>
      <c r="N294" s="92"/>
      <c r="O294" s="92"/>
      <c r="P294" s="92"/>
    </row>
    <row r="295" spans="1:16" ht="12.75">
      <c r="A295" s="90"/>
      <c r="B295" s="90"/>
      <c r="C295" s="90"/>
      <c r="D295" s="91"/>
      <c r="E295" s="92"/>
      <c r="F295" s="92"/>
      <c r="G295" s="92"/>
      <c r="H295" s="52"/>
      <c r="I295" s="52"/>
      <c r="J295" s="92"/>
      <c r="K295" s="92"/>
      <c r="L295" s="92"/>
      <c r="M295" s="92"/>
      <c r="N295" s="92"/>
      <c r="O295" s="92"/>
      <c r="P295" s="92"/>
    </row>
    <row r="296" spans="1:16" ht="12.75">
      <c r="A296" s="90"/>
      <c r="B296" s="90"/>
      <c r="C296" s="90"/>
      <c r="D296" s="91"/>
      <c r="E296" s="92"/>
      <c r="F296" s="92"/>
      <c r="G296" s="92"/>
      <c r="H296" s="52"/>
      <c r="I296" s="52"/>
      <c r="J296" s="92"/>
      <c r="K296" s="92"/>
      <c r="L296" s="92"/>
      <c r="M296" s="92"/>
      <c r="N296" s="92"/>
      <c r="O296" s="92"/>
      <c r="P296" s="92"/>
    </row>
    <row r="297" spans="1:16" ht="12.75">
      <c r="A297" s="90"/>
      <c r="B297" s="90"/>
      <c r="C297" s="90"/>
      <c r="D297" s="91"/>
      <c r="E297" s="92"/>
      <c r="F297" s="92"/>
      <c r="G297" s="92"/>
      <c r="H297" s="52"/>
      <c r="I297" s="52"/>
      <c r="J297" s="92"/>
      <c r="K297" s="92"/>
      <c r="L297" s="92"/>
      <c r="M297" s="92"/>
      <c r="N297" s="92"/>
      <c r="O297" s="92"/>
      <c r="P297" s="92"/>
    </row>
    <row r="298" spans="1:16" ht="12.75">
      <c r="A298" s="90"/>
      <c r="B298" s="90"/>
      <c r="C298" s="90"/>
      <c r="D298" s="91"/>
      <c r="E298" s="92"/>
      <c r="F298" s="92"/>
      <c r="G298" s="92"/>
      <c r="H298" s="52"/>
      <c r="I298" s="52"/>
      <c r="J298" s="92"/>
      <c r="K298" s="92"/>
      <c r="L298" s="92"/>
      <c r="M298" s="92"/>
      <c r="N298" s="92"/>
      <c r="O298" s="92"/>
      <c r="P298" s="92"/>
    </row>
    <row r="299" spans="1:16" ht="12.75">
      <c r="A299" s="90"/>
      <c r="B299" s="90"/>
      <c r="C299" s="90"/>
      <c r="D299" s="91"/>
      <c r="E299" s="92"/>
      <c r="F299" s="92"/>
      <c r="G299" s="92"/>
      <c r="H299" s="52"/>
      <c r="I299" s="52"/>
      <c r="J299" s="92"/>
      <c r="K299" s="92"/>
      <c r="L299" s="92"/>
      <c r="M299" s="92"/>
      <c r="N299" s="92"/>
      <c r="O299" s="92"/>
      <c r="P299" s="92"/>
    </row>
    <row r="300" spans="1:16" ht="12.75">
      <c r="A300" s="90"/>
      <c r="B300" s="90"/>
      <c r="C300" s="90"/>
      <c r="D300" s="91"/>
      <c r="E300" s="92"/>
      <c r="F300" s="92"/>
      <c r="G300" s="92"/>
      <c r="H300" s="52"/>
      <c r="I300" s="52"/>
      <c r="J300" s="92"/>
      <c r="K300" s="92"/>
      <c r="L300" s="92"/>
      <c r="M300" s="92"/>
      <c r="N300" s="92"/>
      <c r="O300" s="92"/>
      <c r="P300" s="92"/>
    </row>
    <row r="301" spans="1:16" ht="12.75">
      <c r="A301" s="90"/>
      <c r="B301" s="90"/>
      <c r="C301" s="90"/>
      <c r="D301" s="91"/>
      <c r="E301" s="92"/>
      <c r="F301" s="92"/>
      <c r="G301" s="92"/>
      <c r="H301" s="52"/>
      <c r="I301" s="52"/>
      <c r="J301" s="92"/>
      <c r="K301" s="92"/>
      <c r="L301" s="92"/>
      <c r="M301" s="92"/>
      <c r="N301" s="92"/>
      <c r="O301" s="92"/>
      <c r="P301" s="92"/>
    </row>
    <row r="302" spans="1:16" ht="12.75">
      <c r="A302" s="90"/>
      <c r="B302" s="90"/>
      <c r="C302" s="90"/>
      <c r="D302" s="91"/>
      <c r="E302" s="92"/>
      <c r="F302" s="92"/>
      <c r="G302" s="92"/>
      <c r="H302" s="52"/>
      <c r="I302" s="52"/>
      <c r="J302" s="92"/>
      <c r="K302" s="92"/>
      <c r="L302" s="92"/>
      <c r="M302" s="92"/>
      <c r="N302" s="92"/>
      <c r="O302" s="92"/>
      <c r="P302" s="92"/>
    </row>
    <row r="303" spans="1:16" ht="12.75">
      <c r="A303" s="90"/>
      <c r="B303" s="90"/>
      <c r="C303" s="90"/>
      <c r="D303" s="91"/>
      <c r="E303" s="92"/>
      <c r="F303" s="92"/>
      <c r="G303" s="92"/>
      <c r="H303" s="52"/>
      <c r="I303" s="52"/>
      <c r="J303" s="92"/>
      <c r="K303" s="92"/>
      <c r="L303" s="92"/>
      <c r="M303" s="92"/>
      <c r="N303" s="92"/>
      <c r="O303" s="92"/>
      <c r="P303" s="92"/>
    </row>
    <row r="304" spans="1:16" ht="12.75">
      <c r="A304" s="90"/>
      <c r="B304" s="90"/>
      <c r="C304" s="90"/>
      <c r="D304" s="91"/>
      <c r="E304" s="92"/>
      <c r="F304" s="92"/>
      <c r="G304" s="92"/>
      <c r="H304" s="52"/>
      <c r="I304" s="52"/>
      <c r="J304" s="92"/>
      <c r="K304" s="92"/>
      <c r="L304" s="92"/>
      <c r="M304" s="92"/>
      <c r="N304" s="92"/>
      <c r="O304" s="92"/>
      <c r="P304" s="92"/>
    </row>
    <row r="305" spans="1:16" ht="12.75">
      <c r="A305" s="90"/>
      <c r="B305" s="90"/>
      <c r="C305" s="90"/>
      <c r="D305" s="91"/>
      <c r="E305" s="92"/>
      <c r="F305" s="92"/>
      <c r="G305" s="92"/>
      <c r="H305" s="52"/>
      <c r="I305" s="52"/>
      <c r="J305" s="92"/>
      <c r="K305" s="92"/>
      <c r="L305" s="92"/>
      <c r="M305" s="92"/>
      <c r="N305" s="92"/>
      <c r="O305" s="92"/>
      <c r="P305" s="92"/>
    </row>
    <row r="306" spans="1:16" ht="12.75">
      <c r="A306" s="90"/>
      <c r="B306" s="90"/>
      <c r="C306" s="90"/>
      <c r="D306" s="91"/>
      <c r="E306" s="92"/>
      <c r="F306" s="92"/>
      <c r="G306" s="92"/>
      <c r="H306" s="52"/>
      <c r="I306" s="52"/>
      <c r="J306" s="92"/>
      <c r="K306" s="92"/>
      <c r="L306" s="92"/>
      <c r="M306" s="92"/>
      <c r="N306" s="92"/>
      <c r="O306" s="92"/>
      <c r="P306" s="92"/>
    </row>
    <row r="307" spans="1:16" ht="12.75">
      <c r="A307" s="90"/>
      <c r="B307" s="90"/>
      <c r="C307" s="90"/>
      <c r="D307" s="91"/>
      <c r="E307" s="92"/>
      <c r="F307" s="92"/>
      <c r="G307" s="92"/>
      <c r="H307" s="52"/>
      <c r="I307" s="52"/>
      <c r="J307" s="92"/>
      <c r="K307" s="92"/>
      <c r="L307" s="92"/>
      <c r="M307" s="92"/>
      <c r="N307" s="92"/>
      <c r="O307" s="92"/>
      <c r="P307" s="92"/>
    </row>
    <row r="308" spans="1:16" ht="12.75">
      <c r="A308" s="90"/>
      <c r="B308" s="90"/>
      <c r="C308" s="90"/>
      <c r="D308" s="91"/>
      <c r="E308" s="92"/>
      <c r="F308" s="92"/>
      <c r="G308" s="92"/>
      <c r="H308" s="52"/>
      <c r="I308" s="52"/>
      <c r="J308" s="92"/>
      <c r="K308" s="92"/>
      <c r="L308" s="92"/>
      <c r="M308" s="92"/>
      <c r="N308" s="92"/>
      <c r="O308" s="92"/>
      <c r="P308" s="92"/>
    </row>
    <row r="309" spans="1:16" ht="12.75">
      <c r="A309" s="90"/>
      <c r="B309" s="90"/>
      <c r="C309" s="90"/>
      <c r="D309" s="91"/>
      <c r="E309" s="92"/>
      <c r="F309" s="92"/>
      <c r="G309" s="92"/>
      <c r="H309" s="52"/>
      <c r="I309" s="52"/>
      <c r="J309" s="92"/>
      <c r="K309" s="92"/>
      <c r="L309" s="92"/>
      <c r="M309" s="92"/>
      <c r="N309" s="92"/>
      <c r="O309" s="92"/>
      <c r="P309" s="92"/>
    </row>
    <row r="310" spans="1:16" ht="12.75">
      <c r="A310" s="90"/>
      <c r="B310" s="90"/>
      <c r="C310" s="90"/>
      <c r="D310" s="91"/>
      <c r="E310" s="92"/>
      <c r="F310" s="92"/>
      <c r="G310" s="92"/>
      <c r="H310" s="52"/>
      <c r="I310" s="52"/>
      <c r="J310" s="92"/>
      <c r="K310" s="92"/>
      <c r="L310" s="92"/>
      <c r="M310" s="92"/>
      <c r="N310" s="92"/>
      <c r="O310" s="92"/>
      <c r="P310" s="92"/>
    </row>
    <row r="311" spans="1:16" ht="12.75">
      <c r="A311" s="90"/>
      <c r="B311" s="90"/>
      <c r="C311" s="90"/>
      <c r="D311" s="91"/>
      <c r="E311" s="92"/>
      <c r="F311" s="92"/>
      <c r="G311" s="92"/>
      <c r="H311" s="52"/>
      <c r="I311" s="52"/>
      <c r="J311" s="92"/>
      <c r="K311" s="92"/>
      <c r="L311" s="92"/>
      <c r="M311" s="92"/>
      <c r="N311" s="92"/>
      <c r="O311" s="92"/>
      <c r="P311" s="92"/>
    </row>
    <row r="312" spans="1:16" ht="12.75">
      <c r="A312" s="90"/>
      <c r="B312" s="90"/>
      <c r="C312" s="90"/>
      <c r="D312" s="91"/>
      <c r="E312" s="92"/>
      <c r="F312" s="92"/>
      <c r="G312" s="92"/>
      <c r="H312" s="52"/>
      <c r="I312" s="52"/>
      <c r="J312" s="92"/>
      <c r="K312" s="92"/>
      <c r="L312" s="92"/>
      <c r="M312" s="92"/>
      <c r="N312" s="92"/>
      <c r="O312" s="92"/>
      <c r="P312" s="92"/>
    </row>
    <row r="313" spans="1:16" ht="12.75">
      <c r="A313" s="90"/>
      <c r="B313" s="90"/>
      <c r="C313" s="90"/>
      <c r="D313" s="91"/>
      <c r="E313" s="92"/>
      <c r="F313" s="92"/>
      <c r="G313" s="92"/>
      <c r="H313" s="52"/>
      <c r="I313" s="52"/>
      <c r="J313" s="92"/>
      <c r="K313" s="92"/>
      <c r="L313" s="92"/>
      <c r="M313" s="92"/>
      <c r="N313" s="92"/>
      <c r="O313" s="92"/>
      <c r="P313" s="92"/>
    </row>
    <row r="314" spans="1:16" ht="12.75">
      <c r="A314" s="90"/>
      <c r="B314" s="90"/>
      <c r="C314" s="90"/>
      <c r="D314" s="91"/>
      <c r="E314" s="92"/>
      <c r="F314" s="92"/>
      <c r="G314" s="92"/>
      <c r="H314" s="52"/>
      <c r="I314" s="52"/>
      <c r="J314" s="92"/>
      <c r="K314" s="92"/>
      <c r="L314" s="92"/>
      <c r="M314" s="92"/>
      <c r="N314" s="92"/>
      <c r="O314" s="92"/>
      <c r="P314" s="92"/>
    </row>
    <row r="315" spans="1:16" ht="12.75">
      <c r="A315" s="90"/>
      <c r="B315" s="90"/>
      <c r="C315" s="90"/>
      <c r="D315" s="91"/>
      <c r="E315" s="92"/>
      <c r="F315" s="92"/>
      <c r="G315" s="92"/>
      <c r="H315" s="52"/>
      <c r="I315" s="52"/>
      <c r="J315" s="92"/>
      <c r="K315" s="92"/>
      <c r="L315" s="92"/>
      <c r="M315" s="92"/>
      <c r="N315" s="92"/>
      <c r="O315" s="92"/>
      <c r="P315" s="92"/>
    </row>
    <row r="316" spans="1:16" ht="12.75">
      <c r="A316" s="90"/>
      <c r="B316" s="90"/>
      <c r="C316" s="90"/>
      <c r="D316" s="91"/>
      <c r="E316" s="92"/>
      <c r="F316" s="92"/>
      <c r="G316" s="92"/>
      <c r="H316" s="52"/>
      <c r="I316" s="52"/>
      <c r="J316" s="92"/>
      <c r="K316" s="92"/>
      <c r="L316" s="92"/>
      <c r="M316" s="92"/>
      <c r="N316" s="92"/>
      <c r="O316" s="92"/>
      <c r="P316" s="92"/>
    </row>
    <row r="317" spans="1:16" ht="12.75">
      <c r="A317" s="90"/>
      <c r="B317" s="90"/>
      <c r="C317" s="90"/>
      <c r="D317" s="91"/>
      <c r="E317" s="92"/>
      <c r="F317" s="92"/>
      <c r="G317" s="92"/>
      <c r="H317" s="52"/>
      <c r="I317" s="52"/>
      <c r="J317" s="92"/>
      <c r="K317" s="92"/>
      <c r="L317" s="92"/>
      <c r="M317" s="92"/>
      <c r="N317" s="92"/>
      <c r="O317" s="92"/>
      <c r="P317" s="92"/>
    </row>
    <row r="318" spans="1:16" ht="12.75">
      <c r="A318" s="90"/>
      <c r="B318" s="90"/>
      <c r="C318" s="90"/>
      <c r="D318" s="91"/>
      <c r="E318" s="92"/>
      <c r="F318" s="92"/>
      <c r="G318" s="92"/>
      <c r="H318" s="52"/>
      <c r="I318" s="52"/>
      <c r="J318" s="92"/>
      <c r="K318" s="92"/>
      <c r="L318" s="92"/>
      <c r="M318" s="92"/>
      <c r="N318" s="92"/>
      <c r="O318" s="92"/>
      <c r="P318" s="92"/>
    </row>
    <row r="319" spans="1:16" ht="12.75">
      <c r="A319" s="90"/>
      <c r="B319" s="90"/>
      <c r="C319" s="90"/>
      <c r="D319" s="91"/>
      <c r="E319" s="92"/>
      <c r="F319" s="92"/>
      <c r="G319" s="92"/>
      <c r="H319" s="52"/>
      <c r="I319" s="52"/>
      <c r="J319" s="92"/>
      <c r="K319" s="92"/>
      <c r="L319" s="92"/>
      <c r="M319" s="92"/>
      <c r="N319" s="92"/>
      <c r="O319" s="92"/>
      <c r="P319" s="92"/>
    </row>
    <row r="320" spans="1:16" ht="12.75">
      <c r="A320" s="90"/>
      <c r="B320" s="90"/>
      <c r="C320" s="90"/>
      <c r="D320" s="91"/>
      <c r="E320" s="92"/>
      <c r="F320" s="92"/>
      <c r="G320" s="92"/>
      <c r="H320" s="52"/>
      <c r="I320" s="52"/>
      <c r="J320" s="92"/>
      <c r="K320" s="92"/>
      <c r="L320" s="92"/>
      <c r="M320" s="92"/>
      <c r="N320" s="92"/>
      <c r="O320" s="92"/>
      <c r="P320" s="92"/>
    </row>
    <row r="321" spans="1:16" ht="12.75">
      <c r="A321" s="90"/>
      <c r="B321" s="90"/>
      <c r="C321" s="90"/>
      <c r="D321" s="91"/>
      <c r="E321" s="92"/>
      <c r="F321" s="92"/>
      <c r="G321" s="92"/>
      <c r="H321" s="52"/>
      <c r="I321" s="52"/>
      <c r="J321" s="92"/>
      <c r="K321" s="92"/>
      <c r="L321" s="92"/>
      <c r="M321" s="92"/>
      <c r="N321" s="92"/>
      <c r="O321" s="92"/>
      <c r="P321" s="92"/>
    </row>
    <row r="322" spans="1:16" ht="12.75">
      <c r="A322" s="90"/>
      <c r="B322" s="90"/>
      <c r="C322" s="90"/>
      <c r="D322" s="91"/>
      <c r="E322" s="92"/>
      <c r="F322" s="92"/>
      <c r="G322" s="92"/>
      <c r="H322" s="52"/>
      <c r="I322" s="52"/>
      <c r="J322" s="92"/>
      <c r="K322" s="92"/>
      <c r="L322" s="92"/>
      <c r="M322" s="92"/>
      <c r="N322" s="92"/>
      <c r="O322" s="92"/>
      <c r="P322" s="92"/>
    </row>
    <row r="323" spans="1:16" ht="12.75">
      <c r="A323" s="90"/>
      <c r="B323" s="90"/>
      <c r="C323" s="90"/>
      <c r="D323" s="91"/>
      <c r="E323" s="92"/>
      <c r="F323" s="92"/>
      <c r="G323" s="92"/>
      <c r="H323" s="52"/>
      <c r="I323" s="52"/>
      <c r="J323" s="92"/>
      <c r="K323" s="92"/>
      <c r="L323" s="92"/>
      <c r="M323" s="92"/>
      <c r="N323" s="92"/>
      <c r="O323" s="92"/>
      <c r="P323" s="92"/>
    </row>
    <row r="324" spans="1:16" ht="12.75">
      <c r="A324" s="90"/>
      <c r="B324" s="90"/>
      <c r="C324" s="90"/>
      <c r="D324" s="91"/>
      <c r="E324" s="92"/>
      <c r="F324" s="92"/>
      <c r="G324" s="92"/>
      <c r="H324" s="52"/>
      <c r="I324" s="52"/>
      <c r="J324" s="92"/>
      <c r="K324" s="92"/>
      <c r="L324" s="92"/>
      <c r="M324" s="92"/>
      <c r="N324" s="92"/>
      <c r="O324" s="92"/>
      <c r="P324" s="92"/>
    </row>
    <row r="325" spans="1:16" ht="12.75">
      <c r="A325" s="90"/>
      <c r="B325" s="90"/>
      <c r="C325" s="90"/>
      <c r="D325" s="91"/>
      <c r="E325" s="92"/>
      <c r="F325" s="92"/>
      <c r="G325" s="92"/>
      <c r="H325" s="52"/>
      <c r="I325" s="52"/>
      <c r="J325" s="92"/>
      <c r="K325" s="92"/>
      <c r="L325" s="92"/>
      <c r="M325" s="92"/>
      <c r="N325" s="92"/>
      <c r="O325" s="92"/>
      <c r="P325" s="92"/>
    </row>
    <row r="326" spans="1:16" ht="12.75">
      <c r="A326" s="90"/>
      <c r="B326" s="90"/>
      <c r="C326" s="90"/>
      <c r="D326" s="91"/>
      <c r="E326" s="92"/>
      <c r="F326" s="92"/>
      <c r="G326" s="92"/>
      <c r="H326" s="52"/>
      <c r="I326" s="52"/>
      <c r="J326" s="92"/>
      <c r="K326" s="92"/>
      <c r="L326" s="92"/>
      <c r="M326" s="92"/>
      <c r="N326" s="92"/>
      <c r="O326" s="92"/>
      <c r="P326" s="92"/>
    </row>
    <row r="327" spans="1:16" ht="12.75">
      <c r="A327" s="90"/>
      <c r="B327" s="90"/>
      <c r="C327" s="90"/>
      <c r="D327" s="91"/>
      <c r="E327" s="92"/>
      <c r="F327" s="92"/>
      <c r="G327" s="92"/>
      <c r="H327" s="52"/>
      <c r="I327" s="52"/>
      <c r="J327" s="92"/>
      <c r="K327" s="92"/>
      <c r="L327" s="92"/>
      <c r="M327" s="92"/>
      <c r="N327" s="92"/>
      <c r="O327" s="92"/>
      <c r="P327" s="92"/>
    </row>
    <row r="328" spans="1:16" ht="12.75">
      <c r="A328" s="90"/>
      <c r="B328" s="90"/>
      <c r="C328" s="90"/>
      <c r="D328" s="91"/>
      <c r="E328" s="92"/>
      <c r="F328" s="92"/>
      <c r="G328" s="92"/>
      <c r="H328" s="52"/>
      <c r="I328" s="52"/>
      <c r="J328" s="92"/>
      <c r="K328" s="92"/>
      <c r="L328" s="92"/>
      <c r="M328" s="92"/>
      <c r="N328" s="92"/>
      <c r="O328" s="92"/>
      <c r="P328" s="92"/>
    </row>
    <row r="329" spans="1:16" ht="12.75">
      <c r="A329" s="90"/>
      <c r="B329" s="90"/>
      <c r="C329" s="90"/>
      <c r="D329" s="91"/>
      <c r="E329" s="92"/>
      <c r="F329" s="92"/>
      <c r="G329" s="92"/>
      <c r="H329" s="52"/>
      <c r="I329" s="52"/>
      <c r="J329" s="92"/>
      <c r="K329" s="92"/>
      <c r="L329" s="92"/>
      <c r="M329" s="92"/>
      <c r="N329" s="92"/>
      <c r="O329" s="92"/>
      <c r="P329" s="92"/>
    </row>
    <row r="330" spans="1:16" ht="12.75">
      <c r="A330" s="90"/>
      <c r="B330" s="90"/>
      <c r="C330" s="90"/>
      <c r="D330" s="91"/>
      <c r="E330" s="92"/>
      <c r="F330" s="92"/>
      <c r="G330" s="92"/>
      <c r="H330" s="52"/>
      <c r="I330" s="52"/>
      <c r="J330" s="92"/>
      <c r="K330" s="92"/>
      <c r="L330" s="92"/>
      <c r="M330" s="92"/>
      <c r="N330" s="92"/>
      <c r="O330" s="92"/>
      <c r="P330" s="92"/>
    </row>
    <row r="331" spans="1:16" ht="12.75">
      <c r="A331" s="90"/>
      <c r="B331" s="90"/>
      <c r="C331" s="90"/>
      <c r="D331" s="91"/>
      <c r="E331" s="92"/>
      <c r="F331" s="92"/>
      <c r="G331" s="92"/>
      <c r="H331" s="52"/>
      <c r="I331" s="52"/>
      <c r="J331" s="92"/>
      <c r="K331" s="92"/>
      <c r="L331" s="92"/>
      <c r="M331" s="92"/>
      <c r="N331" s="92"/>
      <c r="O331" s="92"/>
      <c r="P331" s="92"/>
    </row>
    <row r="332" spans="1:16" ht="12.75">
      <c r="A332" s="90"/>
      <c r="B332" s="90"/>
      <c r="C332" s="90"/>
      <c r="D332" s="91"/>
      <c r="E332" s="92"/>
      <c r="F332" s="92"/>
      <c r="G332" s="92"/>
      <c r="H332" s="52"/>
      <c r="I332" s="52"/>
      <c r="J332" s="92"/>
      <c r="K332" s="92"/>
      <c r="L332" s="92"/>
      <c r="M332" s="92"/>
      <c r="N332" s="92"/>
      <c r="O332" s="92"/>
      <c r="P332" s="92"/>
    </row>
    <row r="333" spans="1:16" ht="12.75">
      <c r="A333" s="90"/>
      <c r="B333" s="90"/>
      <c r="C333" s="90"/>
      <c r="D333" s="91"/>
      <c r="E333" s="92"/>
      <c r="F333" s="92"/>
      <c r="G333" s="92"/>
      <c r="H333" s="52"/>
      <c r="I333" s="52"/>
      <c r="J333" s="92"/>
      <c r="K333" s="92"/>
      <c r="L333" s="92"/>
      <c r="M333" s="92"/>
      <c r="N333" s="92"/>
      <c r="O333" s="92"/>
      <c r="P333" s="92"/>
    </row>
    <row r="334" spans="1:16" ht="12.75">
      <c r="A334" s="90"/>
      <c r="B334" s="90"/>
      <c r="C334" s="90"/>
      <c r="D334" s="91"/>
      <c r="E334" s="92"/>
      <c r="F334" s="92"/>
      <c r="G334" s="92"/>
      <c r="H334" s="52"/>
      <c r="I334" s="52"/>
      <c r="J334" s="92"/>
      <c r="K334" s="92"/>
      <c r="L334" s="92"/>
      <c r="M334" s="92"/>
      <c r="N334" s="92"/>
      <c r="O334" s="92"/>
      <c r="P334" s="92"/>
    </row>
    <row r="335" spans="1:16" ht="12.75">
      <c r="A335" s="90"/>
      <c r="B335" s="90"/>
      <c r="C335" s="90"/>
      <c r="D335" s="91"/>
      <c r="E335" s="92"/>
      <c r="F335" s="92"/>
      <c r="G335" s="92"/>
      <c r="H335" s="52"/>
      <c r="I335" s="52"/>
      <c r="J335" s="92"/>
      <c r="K335" s="92"/>
      <c r="L335" s="92"/>
      <c r="M335" s="92"/>
      <c r="N335" s="92"/>
      <c r="O335" s="92"/>
      <c r="P335" s="92"/>
    </row>
    <row r="336" spans="1:16" ht="12.75">
      <c r="A336" s="90"/>
      <c r="B336" s="90"/>
      <c r="C336" s="90"/>
      <c r="D336" s="91"/>
      <c r="E336" s="92"/>
      <c r="F336" s="92"/>
      <c r="G336" s="92"/>
      <c r="H336" s="52"/>
      <c r="I336" s="52"/>
      <c r="J336" s="92"/>
      <c r="K336" s="92"/>
      <c r="L336" s="92"/>
      <c r="M336" s="92"/>
      <c r="N336" s="92"/>
      <c r="O336" s="92"/>
      <c r="P336" s="92"/>
    </row>
    <row r="337" spans="1:16" ht="12.75">
      <c r="A337" s="90"/>
      <c r="B337" s="90"/>
      <c r="C337" s="90"/>
      <c r="D337" s="91"/>
      <c r="E337" s="92"/>
      <c r="F337" s="92"/>
      <c r="G337" s="92"/>
      <c r="H337" s="52"/>
      <c r="I337" s="52"/>
      <c r="J337" s="92"/>
      <c r="K337" s="92"/>
      <c r="L337" s="92"/>
      <c r="M337" s="92"/>
      <c r="N337" s="92"/>
      <c r="O337" s="92"/>
      <c r="P337" s="92"/>
    </row>
    <row r="338" spans="1:16" ht="12.75">
      <c r="A338" s="90"/>
      <c r="B338" s="90"/>
      <c r="C338" s="90"/>
      <c r="D338" s="91"/>
      <c r="E338" s="92"/>
      <c r="F338" s="92"/>
      <c r="G338" s="92"/>
      <c r="H338" s="52"/>
      <c r="I338" s="52"/>
      <c r="J338" s="92"/>
      <c r="K338" s="92"/>
      <c r="L338" s="92"/>
      <c r="M338" s="92"/>
      <c r="N338" s="92"/>
      <c r="O338" s="92"/>
      <c r="P338" s="92"/>
    </row>
    <row r="339" spans="1:16" ht="12.75">
      <c r="A339" s="90"/>
      <c r="B339" s="90"/>
      <c r="C339" s="90"/>
      <c r="D339" s="91"/>
      <c r="E339" s="92"/>
      <c r="F339" s="92"/>
      <c r="G339" s="92"/>
      <c r="H339" s="52"/>
      <c r="I339" s="52"/>
      <c r="J339" s="92"/>
      <c r="K339" s="92"/>
      <c r="L339" s="92"/>
      <c r="M339" s="92"/>
      <c r="N339" s="92"/>
      <c r="O339" s="92"/>
      <c r="P339" s="92"/>
    </row>
    <row r="340" spans="1:16" ht="12.75">
      <c r="A340" s="90"/>
      <c r="B340" s="90"/>
      <c r="C340" s="90"/>
      <c r="D340" s="91"/>
      <c r="E340" s="92"/>
      <c r="F340" s="92"/>
      <c r="G340" s="92"/>
      <c r="H340" s="52"/>
      <c r="I340" s="52"/>
      <c r="J340" s="92"/>
      <c r="K340" s="92"/>
      <c r="L340" s="92"/>
      <c r="M340" s="92"/>
      <c r="N340" s="92"/>
      <c r="O340" s="92"/>
      <c r="P340" s="92"/>
    </row>
    <row r="341" spans="1:16" ht="12.75">
      <c r="A341" s="90"/>
      <c r="B341" s="90"/>
      <c r="C341" s="90"/>
      <c r="D341" s="91"/>
      <c r="E341" s="92"/>
      <c r="F341" s="92"/>
      <c r="G341" s="92"/>
      <c r="H341" s="52"/>
      <c r="I341" s="52"/>
      <c r="J341" s="92"/>
      <c r="K341" s="92"/>
      <c r="L341" s="92"/>
      <c r="M341" s="92"/>
      <c r="N341" s="92"/>
      <c r="O341" s="92"/>
      <c r="P341" s="92"/>
    </row>
    <row r="342" spans="1:16" ht="12.75">
      <c r="A342" s="90"/>
      <c r="B342" s="90"/>
      <c r="C342" s="90"/>
      <c r="D342" s="91"/>
      <c r="E342" s="92"/>
      <c r="F342" s="92"/>
      <c r="G342" s="92"/>
      <c r="H342" s="52"/>
      <c r="I342" s="52"/>
      <c r="J342" s="92"/>
      <c r="K342" s="92"/>
      <c r="L342" s="92"/>
      <c r="M342" s="92"/>
      <c r="N342" s="92"/>
      <c r="O342" s="92"/>
      <c r="P342" s="92"/>
    </row>
    <row r="343" spans="1:16" ht="12.75">
      <c r="A343" s="90"/>
      <c r="B343" s="90"/>
      <c r="C343" s="90"/>
      <c r="D343" s="91"/>
      <c r="E343" s="92"/>
      <c r="F343" s="92"/>
      <c r="G343" s="92"/>
      <c r="H343" s="52"/>
      <c r="I343" s="52"/>
      <c r="J343" s="92"/>
      <c r="K343" s="92"/>
      <c r="L343" s="92"/>
      <c r="M343" s="92"/>
      <c r="N343" s="92"/>
      <c r="O343" s="92"/>
      <c r="P343" s="92"/>
    </row>
    <row r="344" spans="1:16" ht="12.75">
      <c r="A344" s="90"/>
      <c r="B344" s="90"/>
      <c r="C344" s="90"/>
      <c r="D344" s="91"/>
      <c r="E344" s="92"/>
      <c r="F344" s="92"/>
      <c r="G344" s="92"/>
      <c r="H344" s="52"/>
      <c r="I344" s="52"/>
      <c r="J344" s="92"/>
      <c r="K344" s="92"/>
      <c r="L344" s="92"/>
      <c r="M344" s="92"/>
      <c r="N344" s="92"/>
      <c r="O344" s="92"/>
      <c r="P344" s="92"/>
    </row>
    <row r="345" spans="1:16" ht="12.75">
      <c r="A345" s="90"/>
      <c r="B345" s="90"/>
      <c r="C345" s="90"/>
      <c r="D345" s="91"/>
      <c r="E345" s="92"/>
      <c r="F345" s="92"/>
      <c r="G345" s="92"/>
      <c r="H345" s="52"/>
      <c r="I345" s="52"/>
      <c r="J345" s="92"/>
      <c r="K345" s="92"/>
      <c r="L345" s="92"/>
      <c r="M345" s="92"/>
      <c r="N345" s="92"/>
      <c r="O345" s="92"/>
      <c r="P345" s="92"/>
    </row>
    <row r="346" spans="1:16" ht="12.75">
      <c r="A346" s="90"/>
      <c r="B346" s="90"/>
      <c r="C346" s="90"/>
      <c r="D346" s="91"/>
      <c r="E346" s="92"/>
      <c r="F346" s="92"/>
      <c r="G346" s="92"/>
      <c r="H346" s="52"/>
      <c r="I346" s="52"/>
      <c r="J346" s="92"/>
      <c r="K346" s="92"/>
      <c r="L346" s="92"/>
      <c r="M346" s="92"/>
      <c r="N346" s="92"/>
      <c r="O346" s="92"/>
      <c r="P346" s="92"/>
    </row>
    <row r="347" spans="1:16" ht="12.75">
      <c r="A347" s="90"/>
      <c r="B347" s="90"/>
      <c r="C347" s="90"/>
      <c r="D347" s="91"/>
      <c r="E347" s="92"/>
      <c r="F347" s="92"/>
      <c r="G347" s="92"/>
      <c r="H347" s="52"/>
      <c r="I347" s="52"/>
      <c r="J347" s="92"/>
      <c r="K347" s="92"/>
      <c r="L347" s="92"/>
      <c r="M347" s="92"/>
      <c r="N347" s="92"/>
      <c r="O347" s="92"/>
      <c r="P347" s="92"/>
    </row>
    <row r="348" spans="1:16" ht="12.75">
      <c r="A348" s="90"/>
      <c r="B348" s="90"/>
      <c r="C348" s="90"/>
      <c r="D348" s="91"/>
      <c r="E348" s="92"/>
      <c r="F348" s="92"/>
      <c r="G348" s="92"/>
      <c r="H348" s="52"/>
      <c r="I348" s="52"/>
      <c r="J348" s="92"/>
      <c r="K348" s="92"/>
      <c r="L348" s="92"/>
      <c r="M348" s="92"/>
      <c r="N348" s="92"/>
      <c r="O348" s="92"/>
      <c r="P348" s="92"/>
    </row>
    <row r="349" spans="1:16" ht="12.75">
      <c r="A349" s="90"/>
      <c r="B349" s="90"/>
      <c r="C349" s="90"/>
      <c r="D349" s="91"/>
      <c r="E349" s="92"/>
      <c r="F349" s="92"/>
      <c r="G349" s="92"/>
      <c r="H349" s="52"/>
      <c r="I349" s="52"/>
      <c r="J349" s="92"/>
      <c r="K349" s="92"/>
      <c r="L349" s="92"/>
      <c r="M349" s="92"/>
      <c r="N349" s="92"/>
      <c r="O349" s="92"/>
      <c r="P349" s="92"/>
    </row>
    <row r="350" spans="1:16" ht="12.75">
      <c r="A350" s="90"/>
      <c r="B350" s="90"/>
      <c r="C350" s="90"/>
      <c r="D350" s="91"/>
      <c r="E350" s="92"/>
      <c r="F350" s="92"/>
      <c r="G350" s="92"/>
      <c r="H350" s="52"/>
      <c r="I350" s="52"/>
      <c r="J350" s="92"/>
      <c r="K350" s="92"/>
      <c r="L350" s="92"/>
      <c r="M350" s="92"/>
      <c r="N350" s="92"/>
      <c r="O350" s="92"/>
      <c r="P350" s="92"/>
    </row>
    <row r="351" spans="1:16" ht="12.75">
      <c r="A351" s="90"/>
      <c r="B351" s="90"/>
      <c r="C351" s="90"/>
      <c r="D351" s="91"/>
      <c r="E351" s="92"/>
      <c r="F351" s="92"/>
      <c r="G351" s="92"/>
      <c r="H351" s="52"/>
      <c r="I351" s="52"/>
      <c r="J351" s="92"/>
      <c r="K351" s="92"/>
      <c r="L351" s="92"/>
      <c r="M351" s="92"/>
      <c r="N351" s="92"/>
      <c r="O351" s="92"/>
      <c r="P351" s="92"/>
    </row>
    <row r="352" spans="1:16" ht="12.75">
      <c r="A352" s="90"/>
      <c r="B352" s="90"/>
      <c r="C352" s="90"/>
      <c r="D352" s="91"/>
      <c r="E352" s="92"/>
      <c r="F352" s="92"/>
      <c r="G352" s="92"/>
      <c r="H352" s="52"/>
      <c r="I352" s="52"/>
      <c r="J352" s="92"/>
      <c r="K352" s="92"/>
      <c r="L352" s="92"/>
      <c r="M352" s="92"/>
      <c r="N352" s="92"/>
      <c r="O352" s="92"/>
      <c r="P352" s="92"/>
    </row>
    <row r="353" spans="1:16" ht="12.75">
      <c r="A353" s="90"/>
      <c r="B353" s="90"/>
      <c r="C353" s="90"/>
      <c r="D353" s="91"/>
      <c r="E353" s="92"/>
      <c r="F353" s="92"/>
      <c r="G353" s="92"/>
      <c r="H353" s="52"/>
      <c r="I353" s="52"/>
      <c r="J353" s="92"/>
      <c r="K353" s="92"/>
      <c r="L353" s="92"/>
      <c r="M353" s="92"/>
      <c r="N353" s="92"/>
      <c r="O353" s="92"/>
      <c r="P353" s="92"/>
    </row>
    <row r="354" spans="1:16" ht="12.75">
      <c r="A354" s="90"/>
      <c r="B354" s="90"/>
      <c r="C354" s="90"/>
      <c r="D354" s="91"/>
      <c r="E354" s="92"/>
      <c r="F354" s="92"/>
      <c r="G354" s="92"/>
      <c r="H354" s="52"/>
      <c r="I354" s="52"/>
      <c r="J354" s="92"/>
      <c r="K354" s="92"/>
      <c r="L354" s="92"/>
      <c r="M354" s="92"/>
      <c r="N354" s="92"/>
      <c r="O354" s="92"/>
      <c r="P354" s="92"/>
    </row>
    <row r="355" spans="1:16" ht="12.75">
      <c r="A355" s="90"/>
      <c r="B355" s="90"/>
      <c r="C355" s="90"/>
      <c r="D355" s="91"/>
      <c r="E355" s="92"/>
      <c r="F355" s="92"/>
      <c r="G355" s="92"/>
      <c r="H355" s="52"/>
      <c r="I355" s="52"/>
      <c r="J355" s="92"/>
      <c r="K355" s="92"/>
      <c r="L355" s="92"/>
      <c r="M355" s="92"/>
      <c r="N355" s="92"/>
      <c r="O355" s="92"/>
      <c r="P355" s="92"/>
    </row>
    <row r="356" spans="1:16" ht="12.75">
      <c r="A356" s="90"/>
      <c r="B356" s="90"/>
      <c r="C356" s="90"/>
      <c r="D356" s="91"/>
      <c r="E356" s="92"/>
      <c r="F356" s="92"/>
      <c r="G356" s="92"/>
      <c r="H356" s="52"/>
      <c r="I356" s="52"/>
      <c r="J356" s="92"/>
      <c r="K356" s="92"/>
      <c r="L356" s="92"/>
      <c r="M356" s="92"/>
      <c r="N356" s="92"/>
      <c r="O356" s="92"/>
      <c r="P356" s="92"/>
    </row>
    <row r="357" spans="1:16" ht="12.75">
      <c r="A357" s="90"/>
      <c r="B357" s="90"/>
      <c r="C357" s="90"/>
      <c r="D357" s="91"/>
      <c r="E357" s="92"/>
      <c r="F357" s="92"/>
      <c r="G357" s="92"/>
      <c r="H357" s="52"/>
      <c r="I357" s="52"/>
      <c r="J357" s="92"/>
      <c r="K357" s="92"/>
      <c r="L357" s="92"/>
      <c r="M357" s="92"/>
      <c r="N357" s="92"/>
      <c r="O357" s="92"/>
      <c r="P357" s="92"/>
    </row>
    <row r="358" spans="1:16" ht="12.75">
      <c r="A358" s="90"/>
      <c r="B358" s="90"/>
      <c r="C358" s="90"/>
      <c r="D358" s="91"/>
      <c r="E358" s="92"/>
      <c r="F358" s="92"/>
      <c r="G358" s="92"/>
      <c r="H358" s="52"/>
      <c r="I358" s="52"/>
      <c r="J358" s="92"/>
      <c r="K358" s="92"/>
      <c r="L358" s="92"/>
      <c r="M358" s="92"/>
      <c r="N358" s="92"/>
      <c r="O358" s="92"/>
      <c r="P358" s="92"/>
    </row>
    <row r="359" spans="1:16" ht="12.75">
      <c r="A359" s="90"/>
      <c r="B359" s="90"/>
      <c r="C359" s="90"/>
      <c r="D359" s="91"/>
      <c r="E359" s="92"/>
      <c r="F359" s="92"/>
      <c r="G359" s="92"/>
      <c r="H359" s="52"/>
      <c r="I359" s="52"/>
      <c r="J359" s="92"/>
      <c r="K359" s="92"/>
      <c r="L359" s="92"/>
      <c r="M359" s="92"/>
      <c r="N359" s="92"/>
      <c r="O359" s="92"/>
      <c r="P359" s="92"/>
    </row>
    <row r="360" spans="1:16" ht="12.75">
      <c r="A360" s="90"/>
      <c r="B360" s="90"/>
      <c r="C360" s="90"/>
      <c r="D360" s="91"/>
      <c r="E360" s="92"/>
      <c r="F360" s="92"/>
      <c r="G360" s="92"/>
      <c r="H360" s="52"/>
      <c r="I360" s="52"/>
      <c r="J360" s="92"/>
      <c r="K360" s="92"/>
      <c r="L360" s="92"/>
      <c r="M360" s="92"/>
      <c r="N360" s="92"/>
      <c r="O360" s="92"/>
      <c r="P360" s="92"/>
    </row>
    <row r="361" spans="1:16" ht="12.75">
      <c r="A361" s="90"/>
      <c r="B361" s="90"/>
      <c r="C361" s="90"/>
      <c r="D361" s="91"/>
      <c r="E361" s="92"/>
      <c r="F361" s="92"/>
      <c r="G361" s="92"/>
      <c r="H361" s="52"/>
      <c r="I361" s="52"/>
      <c r="J361" s="92"/>
      <c r="K361" s="92"/>
      <c r="L361" s="92"/>
      <c r="M361" s="92"/>
      <c r="N361" s="92"/>
      <c r="O361" s="92"/>
      <c r="P361" s="92"/>
    </row>
    <row r="362" spans="1:16" ht="12.75">
      <c r="A362" s="90"/>
      <c r="B362" s="90"/>
      <c r="C362" s="90"/>
      <c r="D362" s="91"/>
      <c r="E362" s="92"/>
      <c r="F362" s="92"/>
      <c r="G362" s="92"/>
      <c r="H362" s="52"/>
      <c r="I362" s="52"/>
      <c r="J362" s="92"/>
      <c r="K362" s="92"/>
      <c r="L362" s="92"/>
      <c r="M362" s="92"/>
      <c r="N362" s="92"/>
      <c r="O362" s="92"/>
      <c r="P362" s="92"/>
    </row>
    <row r="363" spans="1:16" ht="12.75">
      <c r="A363" s="90"/>
      <c r="B363" s="90"/>
      <c r="C363" s="90"/>
      <c r="D363" s="91"/>
      <c r="E363" s="92"/>
      <c r="F363" s="92"/>
      <c r="G363" s="92"/>
      <c r="H363" s="52"/>
      <c r="I363" s="52"/>
      <c r="J363" s="92"/>
      <c r="K363" s="92"/>
      <c r="L363" s="92"/>
      <c r="M363" s="92"/>
      <c r="N363" s="92"/>
      <c r="O363" s="92"/>
      <c r="P363" s="92"/>
    </row>
    <row r="364" spans="1:16" ht="12.75">
      <c r="A364" s="90"/>
      <c r="B364" s="90"/>
      <c r="C364" s="90"/>
      <c r="D364" s="91"/>
      <c r="E364" s="92"/>
      <c r="F364" s="92"/>
      <c r="G364" s="92"/>
      <c r="H364" s="52"/>
      <c r="I364" s="52"/>
      <c r="J364" s="92"/>
      <c r="K364" s="92"/>
      <c r="L364" s="92"/>
      <c r="M364" s="92"/>
      <c r="N364" s="92"/>
      <c r="O364" s="92"/>
      <c r="P364" s="92"/>
    </row>
    <row r="365" spans="1:16" ht="12.75">
      <c r="A365" s="90"/>
      <c r="B365" s="90"/>
      <c r="C365" s="90"/>
      <c r="D365" s="91"/>
      <c r="E365" s="92"/>
      <c r="F365" s="92"/>
      <c r="G365" s="92"/>
      <c r="H365" s="52"/>
      <c r="I365" s="52"/>
      <c r="J365" s="92"/>
      <c r="K365" s="92"/>
      <c r="L365" s="92"/>
      <c r="M365" s="92"/>
      <c r="N365" s="92"/>
      <c r="O365" s="92"/>
      <c r="P365" s="92"/>
    </row>
    <row r="366" spans="1:16" ht="12.75">
      <c r="A366" s="90"/>
      <c r="B366" s="90"/>
      <c r="C366" s="90"/>
      <c r="D366" s="91"/>
      <c r="E366" s="92"/>
      <c r="F366" s="92"/>
      <c r="G366" s="92"/>
      <c r="H366" s="52"/>
      <c r="I366" s="52"/>
      <c r="J366" s="92"/>
      <c r="K366" s="92"/>
      <c r="L366" s="92"/>
      <c r="M366" s="92"/>
      <c r="N366" s="92"/>
      <c r="O366" s="92"/>
      <c r="P366" s="92"/>
    </row>
    <row r="367" spans="1:16" ht="12.75">
      <c r="A367" s="90"/>
      <c r="B367" s="90"/>
      <c r="C367" s="90"/>
      <c r="D367" s="91"/>
      <c r="E367" s="92"/>
      <c r="F367" s="92"/>
      <c r="G367" s="92"/>
      <c r="H367" s="52"/>
      <c r="I367" s="52"/>
      <c r="J367" s="92"/>
      <c r="K367" s="92"/>
      <c r="L367" s="92"/>
      <c r="M367" s="92"/>
      <c r="N367" s="92"/>
      <c r="O367" s="92"/>
      <c r="P367" s="92"/>
    </row>
    <row r="368" spans="1:16" ht="12.75">
      <c r="A368" s="90"/>
      <c r="B368" s="90"/>
      <c r="C368" s="90"/>
      <c r="D368" s="91"/>
      <c r="E368" s="92"/>
      <c r="F368" s="92"/>
      <c r="G368" s="92"/>
      <c r="H368" s="52"/>
      <c r="I368" s="52"/>
      <c r="J368" s="92"/>
      <c r="K368" s="92"/>
      <c r="L368" s="92"/>
      <c r="M368" s="92"/>
      <c r="N368" s="92"/>
      <c r="O368" s="92"/>
      <c r="P368" s="92"/>
    </row>
    <row r="369" spans="1:16" ht="12.75">
      <c r="A369" s="90"/>
      <c r="B369" s="90"/>
      <c r="C369" s="90"/>
      <c r="D369" s="91"/>
      <c r="E369" s="92"/>
      <c r="F369" s="92"/>
      <c r="G369" s="92"/>
      <c r="H369" s="52"/>
      <c r="I369" s="52"/>
      <c r="J369" s="92"/>
      <c r="K369" s="92"/>
      <c r="L369" s="92"/>
      <c r="M369" s="92"/>
      <c r="N369" s="92"/>
      <c r="O369" s="92"/>
      <c r="P369" s="92"/>
    </row>
    <row r="370" spans="1:16" ht="12.75">
      <c r="A370" s="90"/>
      <c r="B370" s="90"/>
      <c r="C370" s="90"/>
      <c r="D370" s="91"/>
      <c r="E370" s="92"/>
      <c r="F370" s="92"/>
      <c r="G370" s="92"/>
      <c r="H370" s="52"/>
      <c r="I370" s="52"/>
      <c r="J370" s="92"/>
      <c r="K370" s="92"/>
      <c r="L370" s="92"/>
      <c r="M370" s="92"/>
      <c r="N370" s="92"/>
      <c r="O370" s="92"/>
      <c r="P370" s="92"/>
    </row>
    <row r="371" spans="1:16" ht="12.75">
      <c r="A371" s="90"/>
      <c r="B371" s="90"/>
      <c r="C371" s="90"/>
      <c r="D371" s="91"/>
      <c r="E371" s="92"/>
      <c r="F371" s="92"/>
      <c r="G371" s="92"/>
      <c r="H371" s="52"/>
      <c r="I371" s="52"/>
      <c r="J371" s="92"/>
      <c r="K371" s="92"/>
      <c r="L371" s="92"/>
      <c r="M371" s="92"/>
      <c r="N371" s="92"/>
      <c r="O371" s="92"/>
      <c r="P371" s="92"/>
    </row>
    <row r="372" spans="1:16" ht="12.75">
      <c r="A372" s="90"/>
      <c r="B372" s="90"/>
      <c r="C372" s="90"/>
      <c r="D372" s="91"/>
      <c r="E372" s="92"/>
      <c r="F372" s="92"/>
      <c r="G372" s="92"/>
      <c r="H372" s="52"/>
      <c r="I372" s="52"/>
      <c r="J372" s="92"/>
      <c r="K372" s="92"/>
      <c r="L372" s="92"/>
      <c r="M372" s="92"/>
      <c r="N372" s="92"/>
      <c r="O372" s="92"/>
      <c r="P372" s="92"/>
    </row>
    <row r="373" spans="1:16" ht="12.75">
      <c r="A373" s="90"/>
      <c r="B373" s="90"/>
      <c r="C373" s="90"/>
      <c r="D373" s="91"/>
      <c r="E373" s="92"/>
      <c r="F373" s="92"/>
      <c r="G373" s="92"/>
      <c r="H373" s="52"/>
      <c r="I373" s="52"/>
      <c r="J373" s="92"/>
      <c r="K373" s="92"/>
      <c r="L373" s="92"/>
      <c r="M373" s="92"/>
      <c r="N373" s="92"/>
      <c r="O373" s="92"/>
      <c r="P373" s="92"/>
    </row>
    <row r="374" spans="1:16" ht="12.75">
      <c r="A374" s="90"/>
      <c r="B374" s="90"/>
      <c r="C374" s="90"/>
      <c r="D374" s="91"/>
      <c r="E374" s="92"/>
      <c r="F374" s="92"/>
      <c r="G374" s="92"/>
      <c r="H374" s="52"/>
      <c r="I374" s="52"/>
      <c r="J374" s="92"/>
      <c r="K374" s="92"/>
      <c r="L374" s="92"/>
      <c r="M374" s="92"/>
      <c r="N374" s="92"/>
      <c r="O374" s="92"/>
      <c r="P374" s="92"/>
    </row>
    <row r="375" spans="1:16" ht="12.75">
      <c r="A375" s="90"/>
      <c r="B375" s="90"/>
      <c r="C375" s="90"/>
      <c r="D375" s="91"/>
      <c r="E375" s="92"/>
      <c r="F375" s="92"/>
      <c r="G375" s="92"/>
      <c r="H375" s="52"/>
      <c r="I375" s="52"/>
      <c r="J375" s="92"/>
      <c r="K375" s="92"/>
      <c r="L375" s="92"/>
      <c r="M375" s="92"/>
      <c r="N375" s="92"/>
      <c r="O375" s="92"/>
      <c r="P375" s="92"/>
    </row>
    <row r="376" spans="1:16" ht="12.75">
      <c r="A376" s="90"/>
      <c r="B376" s="90"/>
      <c r="C376" s="90"/>
      <c r="D376" s="91"/>
      <c r="E376" s="92"/>
      <c r="F376" s="92"/>
      <c r="G376" s="92"/>
      <c r="H376" s="52"/>
      <c r="I376" s="52"/>
      <c r="J376" s="92"/>
      <c r="K376" s="92"/>
      <c r="L376" s="92"/>
      <c r="M376" s="92"/>
      <c r="N376" s="92"/>
      <c r="O376" s="92"/>
      <c r="P376" s="92"/>
    </row>
    <row r="377" spans="1:16" ht="12.75">
      <c r="A377" s="90"/>
      <c r="B377" s="90"/>
      <c r="C377" s="90"/>
      <c r="D377" s="91"/>
      <c r="E377" s="92"/>
      <c r="F377" s="92"/>
      <c r="G377" s="92"/>
      <c r="H377" s="52"/>
      <c r="I377" s="52"/>
      <c r="J377" s="92"/>
      <c r="K377" s="92"/>
      <c r="L377" s="92"/>
      <c r="M377" s="92"/>
      <c r="N377" s="92"/>
      <c r="O377" s="92"/>
      <c r="P377" s="92"/>
    </row>
    <row r="378" spans="1:16" ht="12.75">
      <c r="A378" s="90"/>
      <c r="B378" s="90"/>
      <c r="C378" s="90"/>
      <c r="D378" s="91"/>
      <c r="E378" s="92"/>
      <c r="F378" s="92"/>
      <c r="G378" s="92"/>
      <c r="H378" s="52"/>
      <c r="I378" s="52"/>
      <c r="J378" s="92"/>
      <c r="K378" s="92"/>
      <c r="L378" s="92"/>
      <c r="M378" s="92"/>
      <c r="N378" s="92"/>
      <c r="O378" s="92"/>
      <c r="P378" s="92"/>
    </row>
    <row r="379" spans="1:16" ht="12.75">
      <c r="A379" s="90"/>
      <c r="B379" s="90"/>
      <c r="C379" s="90"/>
      <c r="D379" s="91"/>
      <c r="E379" s="92"/>
      <c r="F379" s="92"/>
      <c r="G379" s="92"/>
      <c r="H379" s="52"/>
      <c r="I379" s="52"/>
      <c r="J379" s="92"/>
      <c r="K379" s="92"/>
      <c r="L379" s="92"/>
      <c r="M379" s="92"/>
      <c r="N379" s="92"/>
      <c r="O379" s="92"/>
      <c r="P379" s="92"/>
    </row>
    <row r="380" spans="1:16" ht="12.75">
      <c r="A380" s="90"/>
      <c r="B380" s="90"/>
      <c r="C380" s="90"/>
      <c r="D380" s="91"/>
      <c r="E380" s="92"/>
      <c r="F380" s="92"/>
      <c r="G380" s="92"/>
      <c r="H380" s="52"/>
      <c r="I380" s="52"/>
      <c r="J380" s="92"/>
      <c r="K380" s="92"/>
      <c r="L380" s="92"/>
      <c r="M380" s="92"/>
      <c r="N380" s="92"/>
      <c r="O380" s="92"/>
      <c r="P380" s="92"/>
    </row>
    <row r="381" spans="1:16" ht="12.75">
      <c r="A381" s="90"/>
      <c r="B381" s="90"/>
      <c r="C381" s="90"/>
      <c r="D381" s="91"/>
      <c r="E381" s="92"/>
      <c r="F381" s="92"/>
      <c r="G381" s="92"/>
      <c r="H381" s="52"/>
      <c r="I381" s="52"/>
      <c r="J381" s="92"/>
      <c r="K381" s="92"/>
      <c r="L381" s="92"/>
      <c r="M381" s="92"/>
      <c r="N381" s="92"/>
      <c r="O381" s="92"/>
      <c r="P381" s="92"/>
    </row>
    <row r="382" spans="1:16" ht="12.75">
      <c r="A382" s="90"/>
      <c r="B382" s="90"/>
      <c r="C382" s="90"/>
      <c r="D382" s="91"/>
      <c r="E382" s="92"/>
      <c r="F382" s="92"/>
      <c r="G382" s="92"/>
      <c r="H382" s="52"/>
      <c r="I382" s="52"/>
      <c r="J382" s="92"/>
      <c r="K382" s="92"/>
      <c r="L382" s="92"/>
      <c r="M382" s="92"/>
      <c r="N382" s="92"/>
      <c r="O382" s="92"/>
      <c r="P382" s="92"/>
    </row>
    <row r="383" spans="1:16" ht="12.75">
      <c r="A383" s="90"/>
      <c r="B383" s="90"/>
      <c r="C383" s="90"/>
      <c r="D383" s="91"/>
      <c r="E383" s="92"/>
      <c r="F383" s="92"/>
      <c r="G383" s="92"/>
      <c r="H383" s="52"/>
      <c r="I383" s="52"/>
      <c r="J383" s="92"/>
      <c r="K383" s="92"/>
      <c r="L383" s="92"/>
      <c r="M383" s="92"/>
      <c r="N383" s="92"/>
      <c r="O383" s="92"/>
      <c r="P383" s="92"/>
    </row>
    <row r="384" spans="1:16" ht="12.75">
      <c r="A384" s="90"/>
      <c r="B384" s="90"/>
      <c r="C384" s="90"/>
      <c r="D384" s="91"/>
      <c r="E384" s="92"/>
      <c r="F384" s="92"/>
      <c r="G384" s="92"/>
      <c r="H384" s="52"/>
      <c r="I384" s="52"/>
      <c r="J384" s="92"/>
      <c r="K384" s="92"/>
      <c r="L384" s="92"/>
      <c r="M384" s="92"/>
      <c r="N384" s="92"/>
      <c r="O384" s="92"/>
      <c r="P384" s="92"/>
    </row>
    <row r="385" spans="1:16" ht="12.75">
      <c r="A385" s="90"/>
      <c r="B385" s="90"/>
      <c r="C385" s="90"/>
      <c r="D385" s="91"/>
      <c r="E385" s="92"/>
      <c r="F385" s="92"/>
      <c r="G385" s="92"/>
      <c r="H385" s="52"/>
      <c r="I385" s="52"/>
      <c r="J385" s="92"/>
      <c r="K385" s="92"/>
      <c r="L385" s="92"/>
      <c r="M385" s="92"/>
      <c r="N385" s="92"/>
      <c r="O385" s="92"/>
      <c r="P385" s="92"/>
    </row>
    <row r="386" spans="1:16" ht="12.75">
      <c r="A386" s="90"/>
      <c r="B386" s="90"/>
      <c r="C386" s="90"/>
      <c r="D386" s="91"/>
      <c r="E386" s="92"/>
      <c r="F386" s="92"/>
      <c r="G386" s="92"/>
      <c r="H386" s="52"/>
      <c r="I386" s="52"/>
      <c r="J386" s="92"/>
      <c r="K386" s="92"/>
      <c r="L386" s="92"/>
      <c r="M386" s="92"/>
      <c r="N386" s="92"/>
      <c r="O386" s="92"/>
      <c r="P386" s="92"/>
    </row>
    <row r="387" spans="1:16" ht="12.75">
      <c r="A387" s="90"/>
      <c r="B387" s="90"/>
      <c r="C387" s="90"/>
      <c r="D387" s="91"/>
      <c r="E387" s="92"/>
      <c r="F387" s="92"/>
      <c r="G387" s="92"/>
      <c r="H387" s="52"/>
      <c r="I387" s="52"/>
      <c r="J387" s="92"/>
      <c r="K387" s="92"/>
      <c r="L387" s="92"/>
      <c r="M387" s="92"/>
      <c r="N387" s="92"/>
      <c r="O387" s="92"/>
      <c r="P387" s="92"/>
    </row>
    <row r="388" spans="1:16" ht="12.75">
      <c r="A388" s="90"/>
      <c r="B388" s="90"/>
      <c r="C388" s="90"/>
      <c r="D388" s="91"/>
      <c r="E388" s="92"/>
      <c r="F388" s="92"/>
      <c r="G388" s="92"/>
      <c r="H388" s="52"/>
      <c r="I388" s="52"/>
      <c r="J388" s="92"/>
      <c r="K388" s="92"/>
      <c r="L388" s="92"/>
      <c r="M388" s="92"/>
      <c r="N388" s="92"/>
      <c r="O388" s="92"/>
      <c r="P388" s="92"/>
    </row>
    <row r="389" spans="1:16" ht="12.75">
      <c r="A389" s="90"/>
      <c r="B389" s="90"/>
      <c r="C389" s="90"/>
      <c r="D389" s="91"/>
      <c r="E389" s="92"/>
      <c r="F389" s="92"/>
      <c r="G389" s="92"/>
      <c r="H389" s="52"/>
      <c r="I389" s="52"/>
      <c r="J389" s="92"/>
      <c r="K389" s="92"/>
      <c r="L389" s="92"/>
      <c r="M389" s="92"/>
      <c r="N389" s="92"/>
      <c r="O389" s="92"/>
      <c r="P389" s="92"/>
    </row>
    <row r="390" spans="1:16" ht="12.75">
      <c r="A390" s="90"/>
      <c r="B390" s="90"/>
      <c r="C390" s="90"/>
      <c r="D390" s="91"/>
      <c r="E390" s="92"/>
      <c r="F390" s="92"/>
      <c r="G390" s="92"/>
      <c r="H390" s="52"/>
      <c r="I390" s="52"/>
      <c r="J390" s="92"/>
      <c r="K390" s="92"/>
      <c r="L390" s="92"/>
      <c r="M390" s="92"/>
      <c r="N390" s="92"/>
      <c r="O390" s="92"/>
      <c r="P390" s="92"/>
    </row>
    <row r="391" spans="1:16" ht="12.75">
      <c r="A391" s="90"/>
      <c r="B391" s="90"/>
      <c r="C391" s="90"/>
      <c r="D391" s="91"/>
      <c r="E391" s="92"/>
      <c r="F391" s="92"/>
      <c r="G391" s="92"/>
      <c r="H391" s="52"/>
      <c r="I391" s="52"/>
      <c r="J391" s="92"/>
      <c r="K391" s="92"/>
      <c r="L391" s="92"/>
      <c r="M391" s="92"/>
      <c r="N391" s="92"/>
      <c r="O391" s="92"/>
      <c r="P391" s="92"/>
    </row>
    <row r="392" spans="1:16" ht="12.75">
      <c r="A392" s="90"/>
      <c r="B392" s="90"/>
      <c r="C392" s="90"/>
      <c r="D392" s="91"/>
      <c r="E392" s="92"/>
      <c r="F392" s="92"/>
      <c r="G392" s="92"/>
      <c r="H392" s="52"/>
      <c r="I392" s="52"/>
      <c r="J392" s="92"/>
      <c r="K392" s="92"/>
      <c r="L392" s="92"/>
      <c r="M392" s="92"/>
      <c r="N392" s="92"/>
      <c r="O392" s="92"/>
      <c r="P392" s="92"/>
    </row>
    <row r="393" spans="1:16" ht="12.75">
      <c r="A393" s="90"/>
      <c r="B393" s="90"/>
      <c r="C393" s="90"/>
      <c r="D393" s="91"/>
      <c r="E393" s="92"/>
      <c r="F393" s="92"/>
      <c r="G393" s="92"/>
      <c r="H393" s="52"/>
      <c r="I393" s="52"/>
      <c r="J393" s="92"/>
      <c r="K393" s="92"/>
      <c r="L393" s="92"/>
      <c r="M393" s="92"/>
      <c r="N393" s="92"/>
      <c r="O393" s="92"/>
      <c r="P393" s="92"/>
    </row>
    <row r="394" spans="1:16" ht="12.75">
      <c r="A394" s="90"/>
      <c r="B394" s="90"/>
      <c r="C394" s="90"/>
      <c r="D394" s="91"/>
      <c r="E394" s="92"/>
      <c r="F394" s="92"/>
      <c r="G394" s="92"/>
      <c r="H394" s="52"/>
      <c r="I394" s="52"/>
      <c r="J394" s="92"/>
      <c r="K394" s="92"/>
      <c r="L394" s="92"/>
      <c r="M394" s="92"/>
      <c r="N394" s="92"/>
      <c r="O394" s="92"/>
      <c r="P394" s="92"/>
    </row>
    <row r="395" spans="1:16" ht="12.75">
      <c r="A395" s="90"/>
      <c r="B395" s="90"/>
      <c r="C395" s="90"/>
      <c r="D395" s="91"/>
      <c r="E395" s="92"/>
      <c r="F395" s="92"/>
      <c r="G395" s="92"/>
      <c r="H395" s="52"/>
      <c r="I395" s="52"/>
      <c r="J395" s="92"/>
      <c r="K395" s="92"/>
      <c r="L395" s="92"/>
      <c r="M395" s="92"/>
      <c r="N395" s="92"/>
      <c r="O395" s="92"/>
      <c r="P395" s="92"/>
    </row>
    <row r="396" spans="1:16" ht="12.75">
      <c r="A396" s="90"/>
      <c r="B396" s="90"/>
      <c r="C396" s="90"/>
      <c r="D396" s="91"/>
      <c r="E396" s="92"/>
      <c r="F396" s="92"/>
      <c r="G396" s="92"/>
      <c r="H396" s="52"/>
      <c r="I396" s="52"/>
      <c r="J396" s="92"/>
      <c r="K396" s="92"/>
      <c r="L396" s="92"/>
      <c r="M396" s="92"/>
      <c r="N396" s="92"/>
      <c r="O396" s="92"/>
      <c r="P396" s="92"/>
    </row>
    <row r="397" spans="1:16" ht="12.75">
      <c r="A397" s="90"/>
      <c r="B397" s="90"/>
      <c r="C397" s="90"/>
      <c r="D397" s="91"/>
      <c r="E397" s="92"/>
      <c r="F397" s="92"/>
      <c r="G397" s="92"/>
      <c r="H397" s="52"/>
      <c r="I397" s="52"/>
      <c r="J397" s="92"/>
      <c r="K397" s="92"/>
      <c r="L397" s="92"/>
      <c r="M397" s="92"/>
      <c r="N397" s="92"/>
      <c r="O397" s="92"/>
      <c r="P397" s="92"/>
    </row>
    <row r="398" spans="1:16" ht="12.75">
      <c r="A398" s="90"/>
      <c r="B398" s="90"/>
      <c r="C398" s="90"/>
      <c r="D398" s="91"/>
      <c r="E398" s="92"/>
      <c r="F398" s="92"/>
      <c r="G398" s="92"/>
      <c r="H398" s="52"/>
      <c r="I398" s="52"/>
      <c r="J398" s="92"/>
      <c r="K398" s="92"/>
      <c r="L398" s="92"/>
      <c r="M398" s="92"/>
      <c r="N398" s="92"/>
      <c r="O398" s="92"/>
      <c r="P398" s="92"/>
    </row>
    <row r="399" spans="1:16" ht="12.75">
      <c r="A399" s="90"/>
      <c r="B399" s="90"/>
      <c r="C399" s="90"/>
      <c r="D399" s="91"/>
      <c r="E399" s="92"/>
      <c r="F399" s="92"/>
      <c r="G399" s="92"/>
      <c r="H399" s="52"/>
      <c r="I399" s="52"/>
      <c r="J399" s="92"/>
      <c r="K399" s="92"/>
      <c r="L399" s="92"/>
      <c r="M399" s="92"/>
      <c r="N399" s="92"/>
      <c r="O399" s="92"/>
      <c r="P399" s="92"/>
    </row>
    <row r="400" spans="1:16" ht="12.75">
      <c r="A400" s="90"/>
      <c r="B400" s="90"/>
      <c r="C400" s="90"/>
      <c r="D400" s="91"/>
      <c r="E400" s="92"/>
      <c r="F400" s="92"/>
      <c r="G400" s="92"/>
      <c r="H400" s="52"/>
      <c r="I400" s="52"/>
      <c r="J400" s="92"/>
      <c r="K400" s="92"/>
      <c r="L400" s="92"/>
      <c r="M400" s="92"/>
      <c r="N400" s="92"/>
      <c r="O400" s="92"/>
      <c r="P400" s="92"/>
    </row>
    <row r="401" spans="1:16" ht="12.75">
      <c r="A401" s="90"/>
      <c r="B401" s="90"/>
      <c r="C401" s="90"/>
      <c r="D401" s="91"/>
      <c r="E401" s="92"/>
      <c r="F401" s="92"/>
      <c r="G401" s="92"/>
      <c r="H401" s="52"/>
      <c r="I401" s="52"/>
      <c r="J401" s="92"/>
      <c r="K401" s="92"/>
      <c r="L401" s="92"/>
      <c r="M401" s="92"/>
      <c r="N401" s="92"/>
      <c r="O401" s="92"/>
      <c r="P401" s="92"/>
    </row>
    <row r="402" spans="1:16" ht="12.75">
      <c r="A402" s="90"/>
      <c r="B402" s="90"/>
      <c r="C402" s="90"/>
      <c r="D402" s="91"/>
      <c r="E402" s="92"/>
      <c r="F402" s="92"/>
      <c r="G402" s="92"/>
      <c r="H402" s="52"/>
      <c r="I402" s="52"/>
      <c r="J402" s="92"/>
      <c r="K402" s="92"/>
      <c r="L402" s="92"/>
      <c r="M402" s="92"/>
      <c r="N402" s="92"/>
      <c r="O402" s="92"/>
      <c r="P402" s="92"/>
    </row>
    <row r="403" spans="1:16" ht="12.75">
      <c r="A403" s="90"/>
      <c r="B403" s="90"/>
      <c r="C403" s="90"/>
      <c r="D403" s="91"/>
      <c r="E403" s="92"/>
      <c r="F403" s="92"/>
      <c r="G403" s="92"/>
      <c r="H403" s="52"/>
      <c r="I403" s="52"/>
      <c r="J403" s="92"/>
      <c r="K403" s="92"/>
      <c r="L403" s="92"/>
      <c r="M403" s="92"/>
      <c r="N403" s="92"/>
      <c r="O403" s="92"/>
      <c r="P403" s="92"/>
    </row>
    <row r="404" spans="1:16" ht="12.75">
      <c r="A404" s="90"/>
      <c r="B404" s="90"/>
      <c r="C404" s="90"/>
      <c r="D404" s="91"/>
      <c r="E404" s="92"/>
      <c r="F404" s="92"/>
      <c r="G404" s="92"/>
      <c r="H404" s="52"/>
      <c r="I404" s="52"/>
      <c r="J404" s="92"/>
      <c r="K404" s="92"/>
      <c r="L404" s="92"/>
      <c r="M404" s="92"/>
      <c r="N404" s="92"/>
      <c r="O404" s="92"/>
      <c r="P404" s="92"/>
    </row>
    <row r="405" spans="1:16" ht="12.75">
      <c r="A405" s="90"/>
      <c r="B405" s="90"/>
      <c r="C405" s="90"/>
      <c r="D405" s="91"/>
      <c r="E405" s="92"/>
      <c r="F405" s="92"/>
      <c r="G405" s="92"/>
      <c r="H405" s="52"/>
      <c r="I405" s="52"/>
      <c r="J405" s="92"/>
      <c r="K405" s="92"/>
      <c r="L405" s="92"/>
      <c r="M405" s="92"/>
      <c r="N405" s="92"/>
      <c r="O405" s="92"/>
      <c r="P405" s="92"/>
    </row>
    <row r="406" spans="1:16" ht="12.75">
      <c r="A406" s="90"/>
      <c r="B406" s="90"/>
      <c r="C406" s="90"/>
      <c r="D406" s="91"/>
      <c r="E406" s="92"/>
      <c r="F406" s="92"/>
      <c r="G406" s="92"/>
      <c r="H406" s="52"/>
      <c r="I406" s="52"/>
      <c r="J406" s="92"/>
      <c r="K406" s="92"/>
      <c r="L406" s="92"/>
      <c r="M406" s="92"/>
      <c r="N406" s="92"/>
      <c r="O406" s="92"/>
      <c r="P406" s="92"/>
    </row>
    <row r="407" spans="1:16" ht="12.75">
      <c r="A407" s="90"/>
      <c r="B407" s="90"/>
      <c r="C407" s="90"/>
      <c r="D407" s="91"/>
      <c r="E407" s="92"/>
      <c r="F407" s="92"/>
      <c r="G407" s="92"/>
      <c r="H407" s="52"/>
      <c r="I407" s="52"/>
      <c r="J407" s="92"/>
      <c r="K407" s="92"/>
      <c r="L407" s="92"/>
      <c r="M407" s="92"/>
      <c r="N407" s="92"/>
      <c r="O407" s="92"/>
      <c r="P407" s="92"/>
    </row>
    <row r="408" spans="1:16" ht="12.75">
      <c r="A408" s="90"/>
      <c r="B408" s="90"/>
      <c r="C408" s="90"/>
      <c r="D408" s="91"/>
      <c r="E408" s="92"/>
      <c r="F408" s="92"/>
      <c r="G408" s="92"/>
      <c r="H408" s="52"/>
      <c r="I408" s="52"/>
      <c r="J408" s="92"/>
      <c r="K408" s="92"/>
      <c r="L408" s="92"/>
      <c r="M408" s="92"/>
      <c r="N408" s="92"/>
      <c r="O408" s="92"/>
      <c r="P408" s="92"/>
    </row>
    <row r="409" spans="1:16" ht="12.75">
      <c r="A409" s="90"/>
      <c r="B409" s="90"/>
      <c r="C409" s="90"/>
      <c r="D409" s="91"/>
      <c r="E409" s="92"/>
      <c r="F409" s="92"/>
      <c r="G409" s="92"/>
      <c r="H409" s="52"/>
      <c r="I409" s="52"/>
      <c r="J409" s="92"/>
      <c r="K409" s="92"/>
      <c r="L409" s="92"/>
      <c r="M409" s="92"/>
      <c r="N409" s="92"/>
      <c r="O409" s="92"/>
      <c r="P409" s="92"/>
    </row>
    <row r="410" spans="1:16" ht="12.75">
      <c r="A410" s="90"/>
      <c r="B410" s="90"/>
      <c r="C410" s="90"/>
      <c r="D410" s="91"/>
      <c r="E410" s="92"/>
      <c r="F410" s="92"/>
      <c r="G410" s="92"/>
      <c r="H410" s="52"/>
      <c r="I410" s="52"/>
      <c r="J410" s="92"/>
      <c r="K410" s="92"/>
      <c r="L410" s="92"/>
      <c r="M410" s="92"/>
      <c r="N410" s="92"/>
      <c r="O410" s="92"/>
      <c r="P410" s="92"/>
    </row>
    <row r="411" spans="1:16" ht="12.75">
      <c r="A411" s="90"/>
      <c r="B411" s="90"/>
      <c r="C411" s="90"/>
      <c r="D411" s="91"/>
      <c r="E411" s="92"/>
      <c r="F411" s="92"/>
      <c r="G411" s="92"/>
      <c r="H411" s="52"/>
      <c r="I411" s="52"/>
      <c r="J411" s="92"/>
      <c r="K411" s="92"/>
      <c r="L411" s="92"/>
      <c r="M411" s="92"/>
      <c r="N411" s="92"/>
      <c r="O411" s="92"/>
      <c r="P411" s="92"/>
    </row>
    <row r="412" spans="1:16" ht="12.75">
      <c r="A412" s="90"/>
      <c r="B412" s="90"/>
      <c r="C412" s="90"/>
      <c r="D412" s="91"/>
      <c r="E412" s="92"/>
      <c r="F412" s="92"/>
      <c r="G412" s="92"/>
      <c r="H412" s="52"/>
      <c r="I412" s="52"/>
      <c r="J412" s="92"/>
      <c r="K412" s="92"/>
      <c r="L412" s="92"/>
      <c r="M412" s="92"/>
      <c r="N412" s="92"/>
      <c r="O412" s="92"/>
      <c r="P412" s="92"/>
    </row>
    <row r="413" spans="1:16" ht="12.75">
      <c r="A413" s="90"/>
      <c r="B413" s="90"/>
      <c r="C413" s="90"/>
      <c r="D413" s="91"/>
      <c r="E413" s="92"/>
      <c r="F413" s="92"/>
      <c r="G413" s="92"/>
      <c r="H413" s="52"/>
      <c r="I413" s="52"/>
      <c r="J413" s="92"/>
      <c r="K413" s="92"/>
      <c r="L413" s="92"/>
      <c r="M413" s="92"/>
      <c r="N413" s="92"/>
      <c r="O413" s="92"/>
      <c r="P413" s="92"/>
    </row>
    <row r="414" spans="1:16" ht="12.75">
      <c r="A414" s="90"/>
      <c r="B414" s="90"/>
      <c r="C414" s="90"/>
      <c r="D414" s="91"/>
      <c r="E414" s="92"/>
      <c r="F414" s="92"/>
      <c r="G414" s="92"/>
      <c r="H414" s="52"/>
      <c r="I414" s="52"/>
      <c r="J414" s="92"/>
      <c r="K414" s="92"/>
      <c r="L414" s="92"/>
      <c r="M414" s="92"/>
      <c r="N414" s="92"/>
      <c r="O414" s="92"/>
      <c r="P414" s="92"/>
    </row>
    <row r="415" spans="1:16" ht="12.75">
      <c r="A415" s="90"/>
      <c r="B415" s="90"/>
      <c r="C415" s="90"/>
      <c r="D415" s="91"/>
      <c r="E415" s="92"/>
      <c r="F415" s="92"/>
      <c r="G415" s="92"/>
      <c r="H415" s="52"/>
      <c r="I415" s="52"/>
      <c r="J415" s="92"/>
      <c r="K415" s="92"/>
      <c r="L415" s="92"/>
      <c r="M415" s="92"/>
      <c r="N415" s="92"/>
      <c r="O415" s="92"/>
      <c r="P415" s="92"/>
    </row>
    <row r="416" spans="1:16" ht="12.75">
      <c r="A416" s="90"/>
      <c r="B416" s="90"/>
      <c r="C416" s="90"/>
      <c r="D416" s="91"/>
      <c r="E416" s="92"/>
      <c r="F416" s="92"/>
      <c r="G416" s="92"/>
      <c r="H416" s="52"/>
      <c r="I416" s="52"/>
      <c r="J416" s="92"/>
      <c r="K416" s="92"/>
      <c r="L416" s="92"/>
      <c r="M416" s="92"/>
      <c r="N416" s="92"/>
      <c r="O416" s="92"/>
      <c r="P416" s="92"/>
    </row>
    <row r="417" spans="1:16" ht="12.75">
      <c r="A417" s="90"/>
      <c r="B417" s="90"/>
      <c r="C417" s="90"/>
      <c r="D417" s="91"/>
      <c r="E417" s="92"/>
      <c r="F417" s="92"/>
      <c r="G417" s="92"/>
      <c r="H417" s="52"/>
      <c r="I417" s="52"/>
      <c r="J417" s="92"/>
      <c r="K417" s="92"/>
      <c r="L417" s="92"/>
      <c r="M417" s="92"/>
      <c r="N417" s="92"/>
      <c r="O417" s="92"/>
      <c r="P417" s="92"/>
    </row>
    <row r="418" spans="1:16" ht="12.75">
      <c r="A418" s="90"/>
      <c r="B418" s="90"/>
      <c r="C418" s="90"/>
      <c r="D418" s="91"/>
      <c r="E418" s="92"/>
      <c r="F418" s="92"/>
      <c r="G418" s="92"/>
      <c r="H418" s="52"/>
      <c r="I418" s="52"/>
      <c r="J418" s="92"/>
      <c r="K418" s="92"/>
      <c r="L418" s="92"/>
      <c r="M418" s="92"/>
      <c r="N418" s="92"/>
      <c r="O418" s="92"/>
      <c r="P418" s="92"/>
    </row>
    <row r="419" spans="1:16" ht="12.75">
      <c r="A419" s="90"/>
      <c r="B419" s="90"/>
      <c r="C419" s="90"/>
      <c r="D419" s="91"/>
      <c r="E419" s="92"/>
      <c r="F419" s="92"/>
      <c r="G419" s="92"/>
      <c r="H419" s="52"/>
      <c r="I419" s="52"/>
      <c r="J419" s="92"/>
      <c r="K419" s="92"/>
      <c r="L419" s="92"/>
      <c r="M419" s="92"/>
      <c r="N419" s="92"/>
      <c r="O419" s="92"/>
      <c r="P419" s="92"/>
    </row>
    <row r="420" spans="1:16" ht="12.75">
      <c r="A420" s="90"/>
      <c r="B420" s="90"/>
      <c r="C420" s="90"/>
      <c r="D420" s="91"/>
      <c r="E420" s="92"/>
      <c r="F420" s="92"/>
      <c r="G420" s="92"/>
      <c r="H420" s="52"/>
      <c r="I420" s="52"/>
      <c r="J420" s="92"/>
      <c r="K420" s="92"/>
      <c r="L420" s="92"/>
      <c r="M420" s="92"/>
      <c r="N420" s="92"/>
      <c r="O420" s="92"/>
      <c r="P420" s="92"/>
    </row>
    <row r="421" spans="1:16" ht="12.75">
      <c r="A421" s="90"/>
      <c r="B421" s="90"/>
      <c r="C421" s="90"/>
      <c r="D421" s="91"/>
      <c r="E421" s="92"/>
      <c r="F421" s="92"/>
      <c r="G421" s="92"/>
      <c r="H421" s="52"/>
      <c r="I421" s="52"/>
      <c r="J421" s="92"/>
      <c r="K421" s="92"/>
      <c r="L421" s="92"/>
      <c r="M421" s="92"/>
      <c r="N421" s="92"/>
      <c r="O421" s="92"/>
      <c r="P421" s="92"/>
    </row>
    <row r="422" spans="1:16" ht="12.75">
      <c r="A422" s="90"/>
      <c r="B422" s="90"/>
      <c r="C422" s="90"/>
      <c r="D422" s="91"/>
      <c r="E422" s="92"/>
      <c r="F422" s="92"/>
      <c r="G422" s="92"/>
      <c r="H422" s="52"/>
      <c r="I422" s="52"/>
      <c r="J422" s="92"/>
      <c r="K422" s="92"/>
      <c r="L422" s="92"/>
      <c r="M422" s="92"/>
      <c r="N422" s="92"/>
      <c r="O422" s="92"/>
      <c r="P422" s="92"/>
    </row>
    <row r="423" spans="1:16" ht="12.75">
      <c r="A423" s="90"/>
      <c r="B423" s="90"/>
      <c r="C423" s="90"/>
      <c r="D423" s="91"/>
      <c r="E423" s="92"/>
      <c r="F423" s="92"/>
      <c r="G423" s="92"/>
      <c r="H423" s="52"/>
      <c r="I423" s="52"/>
      <c r="J423" s="92"/>
      <c r="K423" s="92"/>
      <c r="L423" s="92"/>
      <c r="M423" s="92"/>
      <c r="N423" s="92"/>
      <c r="O423" s="92"/>
      <c r="P423" s="92"/>
    </row>
    <row r="424" spans="1:16" ht="12.75">
      <c r="A424" s="90"/>
      <c r="B424" s="90"/>
      <c r="C424" s="90"/>
      <c r="D424" s="91"/>
      <c r="E424" s="92"/>
      <c r="F424" s="92"/>
      <c r="G424" s="92"/>
      <c r="H424" s="52"/>
      <c r="I424" s="52"/>
      <c r="J424" s="92"/>
      <c r="K424" s="92"/>
      <c r="L424" s="92"/>
      <c r="M424" s="92"/>
      <c r="N424" s="92"/>
      <c r="O424" s="92"/>
      <c r="P424" s="92"/>
    </row>
    <row r="425" spans="1:16" ht="12.75">
      <c r="A425" s="90"/>
      <c r="B425" s="90"/>
      <c r="C425" s="90"/>
      <c r="D425" s="91"/>
      <c r="E425" s="92"/>
      <c r="F425" s="92"/>
      <c r="G425" s="92"/>
      <c r="H425" s="52"/>
      <c r="I425" s="52"/>
      <c r="J425" s="92"/>
      <c r="K425" s="92"/>
      <c r="L425" s="92"/>
      <c r="M425" s="92"/>
      <c r="N425" s="92"/>
      <c r="O425" s="92"/>
      <c r="P425" s="92"/>
    </row>
    <row r="426" spans="1:16" ht="12.75">
      <c r="A426" s="90"/>
      <c r="B426" s="90"/>
      <c r="C426" s="90"/>
      <c r="D426" s="91"/>
      <c r="E426" s="92"/>
      <c r="F426" s="92"/>
      <c r="G426" s="92"/>
      <c r="H426" s="52"/>
      <c r="I426" s="52"/>
      <c r="J426" s="92"/>
      <c r="K426" s="92"/>
      <c r="L426" s="92"/>
      <c r="M426" s="92"/>
      <c r="N426" s="92"/>
      <c r="O426" s="92"/>
      <c r="P426" s="92"/>
    </row>
    <row r="427" spans="1:16" ht="12.75">
      <c r="A427" s="90"/>
      <c r="B427" s="90"/>
      <c r="C427" s="90"/>
      <c r="D427" s="91"/>
      <c r="E427" s="92"/>
      <c r="F427" s="92"/>
      <c r="G427" s="92"/>
      <c r="H427" s="52"/>
      <c r="I427" s="52"/>
      <c r="J427" s="92"/>
      <c r="K427" s="92"/>
      <c r="L427" s="92"/>
      <c r="M427" s="92"/>
      <c r="N427" s="92"/>
      <c r="O427" s="92"/>
      <c r="P427" s="92"/>
    </row>
    <row r="428" spans="1:16" ht="12.75">
      <c r="A428" s="90"/>
      <c r="B428" s="90"/>
      <c r="C428" s="90"/>
      <c r="D428" s="91"/>
      <c r="E428" s="92"/>
      <c r="F428" s="92"/>
      <c r="G428" s="92"/>
      <c r="H428" s="52"/>
      <c r="I428" s="52"/>
      <c r="J428" s="92"/>
      <c r="K428" s="92"/>
      <c r="L428" s="92"/>
      <c r="M428" s="92"/>
      <c r="N428" s="92"/>
      <c r="O428" s="92"/>
      <c r="P428" s="92"/>
    </row>
    <row r="429" spans="1:16" ht="12.75">
      <c r="A429" s="90"/>
      <c r="B429" s="90"/>
      <c r="C429" s="90"/>
      <c r="D429" s="91"/>
      <c r="E429" s="92"/>
      <c r="F429" s="92"/>
      <c r="G429" s="92"/>
      <c r="H429" s="52"/>
      <c r="I429" s="52"/>
      <c r="J429" s="92"/>
      <c r="K429" s="92"/>
      <c r="L429" s="92"/>
      <c r="M429" s="92"/>
      <c r="N429" s="92"/>
      <c r="O429" s="92"/>
      <c r="P429" s="92"/>
    </row>
    <row r="430" spans="1:16" ht="12.75">
      <c r="A430" s="90"/>
      <c r="B430" s="90"/>
      <c r="C430" s="90"/>
      <c r="D430" s="91"/>
      <c r="E430" s="92"/>
      <c r="F430" s="92"/>
      <c r="G430" s="92"/>
      <c r="H430" s="52"/>
      <c r="I430" s="52"/>
      <c r="J430" s="92"/>
      <c r="K430" s="92"/>
      <c r="L430" s="92"/>
      <c r="M430" s="92"/>
      <c r="N430" s="92"/>
      <c r="O430" s="92"/>
      <c r="P430" s="92"/>
    </row>
    <row r="431" spans="1:16" ht="12.75">
      <c r="A431" s="90"/>
      <c r="B431" s="90"/>
      <c r="C431" s="90"/>
      <c r="D431" s="91"/>
      <c r="E431" s="92"/>
      <c r="F431" s="92"/>
      <c r="G431" s="92"/>
      <c r="H431" s="52"/>
      <c r="I431" s="52"/>
      <c r="J431" s="92"/>
      <c r="K431" s="92"/>
      <c r="L431" s="92"/>
      <c r="M431" s="92"/>
      <c r="N431" s="92"/>
      <c r="O431" s="92"/>
      <c r="P431" s="92"/>
    </row>
    <row r="432" spans="1:16" ht="12.75">
      <c r="A432" s="90"/>
      <c r="B432" s="90"/>
      <c r="C432" s="90"/>
      <c r="D432" s="91"/>
      <c r="E432" s="92"/>
      <c r="F432" s="92"/>
      <c r="G432" s="92"/>
      <c r="H432" s="52"/>
      <c r="I432" s="52"/>
      <c r="J432" s="92"/>
      <c r="K432" s="92"/>
      <c r="L432" s="92"/>
      <c r="M432" s="92"/>
      <c r="N432" s="92"/>
      <c r="O432" s="92"/>
      <c r="P432" s="92"/>
    </row>
    <row r="433" spans="1:16" ht="12.75">
      <c r="A433" s="90"/>
      <c r="B433" s="90"/>
      <c r="C433" s="90"/>
      <c r="D433" s="91"/>
      <c r="E433" s="92"/>
      <c r="F433" s="92"/>
      <c r="G433" s="92"/>
      <c r="H433" s="52"/>
      <c r="I433" s="52"/>
      <c r="J433" s="92"/>
      <c r="K433" s="92"/>
      <c r="L433" s="92"/>
      <c r="M433" s="92"/>
      <c r="N433" s="92"/>
      <c r="O433" s="92"/>
      <c r="P433" s="92"/>
    </row>
    <row r="434" spans="1:16" ht="12.75">
      <c r="A434" s="90"/>
      <c r="B434" s="90"/>
      <c r="C434" s="90"/>
      <c r="D434" s="91"/>
      <c r="E434" s="92"/>
      <c r="F434" s="92"/>
      <c r="G434" s="92"/>
      <c r="H434" s="52"/>
      <c r="I434" s="52"/>
      <c r="J434" s="92"/>
      <c r="K434" s="92"/>
      <c r="L434" s="92"/>
      <c r="M434" s="92"/>
      <c r="N434" s="92"/>
      <c r="O434" s="92"/>
      <c r="P434" s="92"/>
    </row>
    <row r="435" spans="1:16" ht="12.75">
      <c r="A435" s="90"/>
      <c r="B435" s="90"/>
      <c r="C435" s="90"/>
      <c r="D435" s="91"/>
      <c r="E435" s="92"/>
      <c r="F435" s="92"/>
      <c r="G435" s="92"/>
      <c r="H435" s="52"/>
      <c r="I435" s="52"/>
      <c r="J435" s="92"/>
      <c r="K435" s="92"/>
      <c r="L435" s="92"/>
      <c r="M435" s="92"/>
      <c r="N435" s="92"/>
      <c r="O435" s="92"/>
      <c r="P435" s="92"/>
    </row>
    <row r="436" spans="1:16" ht="12.75">
      <c r="A436" s="90"/>
      <c r="B436" s="90"/>
      <c r="C436" s="90"/>
      <c r="D436" s="91"/>
      <c r="E436" s="92"/>
      <c r="F436" s="92"/>
      <c r="G436" s="92"/>
      <c r="H436" s="52"/>
      <c r="I436" s="52"/>
      <c r="J436" s="92"/>
      <c r="K436" s="92"/>
      <c r="L436" s="92"/>
      <c r="M436" s="92"/>
      <c r="N436" s="92"/>
      <c r="O436" s="92"/>
      <c r="P436" s="92"/>
    </row>
    <row r="437" spans="1:16" ht="12.75">
      <c r="A437" s="90"/>
      <c r="B437" s="90"/>
      <c r="C437" s="90"/>
      <c r="D437" s="91"/>
      <c r="E437" s="92"/>
      <c r="F437" s="92"/>
      <c r="G437" s="92"/>
      <c r="H437" s="52"/>
      <c r="I437" s="52"/>
      <c r="J437" s="92"/>
      <c r="K437" s="92"/>
      <c r="L437" s="92"/>
      <c r="M437" s="92"/>
      <c r="N437" s="92"/>
      <c r="O437" s="92"/>
      <c r="P437" s="92"/>
    </row>
    <row r="438" spans="1:16" ht="12.75">
      <c r="A438" s="90"/>
      <c r="B438" s="90"/>
      <c r="C438" s="90"/>
      <c r="D438" s="91"/>
      <c r="E438" s="92"/>
      <c r="F438" s="92"/>
      <c r="G438" s="92"/>
      <c r="H438" s="52"/>
      <c r="I438" s="52"/>
      <c r="J438" s="92"/>
      <c r="K438" s="92"/>
      <c r="L438" s="92"/>
      <c r="M438" s="92"/>
      <c r="N438" s="92"/>
      <c r="O438" s="92"/>
      <c r="P438" s="92"/>
    </row>
    <row r="439" spans="1:16" ht="12.75">
      <c r="A439" s="90"/>
      <c r="B439" s="90"/>
      <c r="C439" s="90"/>
      <c r="D439" s="91"/>
      <c r="E439" s="92"/>
      <c r="F439" s="92"/>
      <c r="G439" s="92"/>
      <c r="H439" s="52"/>
      <c r="I439" s="52"/>
      <c r="J439" s="92"/>
      <c r="K439" s="92"/>
      <c r="L439" s="92"/>
      <c r="M439" s="92"/>
      <c r="N439" s="92"/>
      <c r="O439" s="92"/>
      <c r="P439" s="92"/>
    </row>
    <row r="440" spans="1:16" ht="12.75">
      <c r="A440" s="90"/>
      <c r="B440" s="90"/>
      <c r="C440" s="90"/>
      <c r="D440" s="91"/>
      <c r="E440" s="92"/>
      <c r="F440" s="92"/>
      <c r="G440" s="92"/>
      <c r="H440" s="52"/>
      <c r="I440" s="52"/>
      <c r="J440" s="92"/>
      <c r="K440" s="92"/>
      <c r="L440" s="92"/>
      <c r="M440" s="92"/>
      <c r="N440" s="92"/>
      <c r="O440" s="92"/>
      <c r="P440" s="92"/>
    </row>
    <row r="441" spans="1:16" ht="12.75">
      <c r="A441" s="90"/>
      <c r="B441" s="90"/>
      <c r="C441" s="90"/>
      <c r="D441" s="91"/>
      <c r="E441" s="92"/>
      <c r="F441" s="92"/>
      <c r="G441" s="92"/>
      <c r="H441" s="52"/>
      <c r="I441" s="52"/>
      <c r="J441" s="92"/>
      <c r="K441" s="92"/>
      <c r="L441" s="92"/>
      <c r="M441" s="92"/>
      <c r="N441" s="92"/>
      <c r="O441" s="92"/>
      <c r="P441" s="92"/>
    </row>
    <row r="442" spans="1:16" ht="12.75">
      <c r="A442" s="90"/>
      <c r="B442" s="90"/>
      <c r="C442" s="90"/>
      <c r="D442" s="91"/>
      <c r="E442" s="92"/>
      <c r="F442" s="92"/>
      <c r="G442" s="92"/>
      <c r="H442" s="52"/>
      <c r="I442" s="52"/>
      <c r="J442" s="92"/>
      <c r="K442" s="92"/>
      <c r="L442" s="92"/>
      <c r="M442" s="92"/>
      <c r="N442" s="92"/>
      <c r="O442" s="92"/>
      <c r="P442" s="92"/>
    </row>
    <row r="443" spans="1:16" ht="12.75">
      <c r="A443" s="90"/>
      <c r="B443" s="90"/>
      <c r="C443" s="90"/>
      <c r="D443" s="91"/>
      <c r="E443" s="92"/>
      <c r="F443" s="92"/>
      <c r="G443" s="92"/>
      <c r="H443" s="52"/>
      <c r="I443" s="52"/>
      <c r="J443" s="92"/>
      <c r="K443" s="92"/>
      <c r="L443" s="92"/>
      <c r="M443" s="92"/>
      <c r="N443" s="92"/>
      <c r="O443" s="92"/>
      <c r="P443" s="92"/>
    </row>
    <row r="444" spans="1:16" ht="12.75">
      <c r="A444" s="90"/>
      <c r="B444" s="90"/>
      <c r="C444" s="90"/>
      <c r="D444" s="91"/>
      <c r="E444" s="92"/>
      <c r="F444" s="92"/>
      <c r="G444" s="92"/>
      <c r="H444" s="52"/>
      <c r="I444" s="52"/>
      <c r="J444" s="92"/>
      <c r="K444" s="92"/>
      <c r="L444" s="92"/>
      <c r="M444" s="92"/>
      <c r="N444" s="92"/>
      <c r="O444" s="92"/>
      <c r="P444" s="92"/>
    </row>
    <row r="445" spans="1:16" ht="12.75">
      <c r="A445" s="90"/>
      <c r="B445" s="90"/>
      <c r="C445" s="90"/>
      <c r="D445" s="91"/>
      <c r="E445" s="92"/>
      <c r="F445" s="92"/>
      <c r="G445" s="92"/>
      <c r="H445" s="52"/>
      <c r="I445" s="52"/>
      <c r="J445" s="92"/>
      <c r="K445" s="92"/>
      <c r="L445" s="92"/>
      <c r="M445" s="92"/>
      <c r="N445" s="92"/>
      <c r="O445" s="92"/>
      <c r="P445" s="92"/>
    </row>
    <row r="446" spans="1:16" ht="12.75">
      <c r="A446" s="90"/>
      <c r="B446" s="90"/>
      <c r="C446" s="90"/>
      <c r="D446" s="91"/>
      <c r="E446" s="92"/>
      <c r="F446" s="92"/>
      <c r="G446" s="92"/>
      <c r="H446" s="52"/>
      <c r="I446" s="52"/>
      <c r="J446" s="92"/>
      <c r="K446" s="92"/>
      <c r="L446" s="92"/>
      <c r="M446" s="92"/>
      <c r="N446" s="92"/>
      <c r="O446" s="92"/>
      <c r="P446" s="92"/>
    </row>
    <row r="447" spans="1:16" ht="12.75">
      <c r="A447" s="90"/>
      <c r="B447" s="90"/>
      <c r="C447" s="90"/>
      <c r="D447" s="91"/>
      <c r="E447" s="92"/>
      <c r="F447" s="92"/>
      <c r="G447" s="92"/>
      <c r="H447" s="52"/>
      <c r="I447" s="52"/>
      <c r="J447" s="92"/>
      <c r="K447" s="92"/>
      <c r="L447" s="92"/>
      <c r="M447" s="92"/>
      <c r="N447" s="92"/>
      <c r="O447" s="92"/>
      <c r="P447" s="92"/>
    </row>
    <row r="448" spans="1:16" ht="12.75">
      <c r="A448" s="90"/>
      <c r="B448" s="90"/>
      <c r="C448" s="90"/>
      <c r="D448" s="91"/>
      <c r="E448" s="92"/>
      <c r="F448" s="92"/>
      <c r="G448" s="92"/>
      <c r="H448" s="52"/>
      <c r="I448" s="52"/>
      <c r="J448" s="92"/>
      <c r="K448" s="92"/>
      <c r="L448" s="92"/>
      <c r="M448" s="92"/>
      <c r="N448" s="92"/>
      <c r="O448" s="92"/>
      <c r="P448" s="92"/>
    </row>
    <row r="449" spans="1:16" ht="12.75">
      <c r="A449" s="90"/>
      <c r="B449" s="90"/>
      <c r="C449" s="90"/>
      <c r="D449" s="91"/>
      <c r="E449" s="92"/>
      <c r="F449" s="92"/>
      <c r="G449" s="92"/>
      <c r="H449" s="52"/>
      <c r="I449" s="52"/>
      <c r="J449" s="92"/>
      <c r="K449" s="92"/>
      <c r="L449" s="92"/>
      <c r="M449" s="92"/>
      <c r="N449" s="92"/>
      <c r="O449" s="92"/>
      <c r="P449" s="92"/>
    </row>
    <row r="450" spans="1:16" ht="12.75">
      <c r="A450" s="90"/>
      <c r="B450" s="90"/>
      <c r="C450" s="90"/>
      <c r="D450" s="91"/>
      <c r="E450" s="92"/>
      <c r="F450" s="92"/>
      <c r="G450" s="92"/>
      <c r="H450" s="52"/>
      <c r="I450" s="52"/>
      <c r="J450" s="92"/>
      <c r="K450" s="92"/>
      <c r="L450" s="92"/>
      <c r="M450" s="92"/>
      <c r="N450" s="92"/>
      <c r="O450" s="92"/>
      <c r="P450" s="92"/>
    </row>
    <row r="451" spans="1:16" ht="12.75">
      <c r="A451" s="90"/>
      <c r="B451" s="90"/>
      <c r="C451" s="90"/>
      <c r="D451" s="91"/>
      <c r="E451" s="92"/>
      <c r="F451" s="92"/>
      <c r="G451" s="92"/>
      <c r="H451" s="52"/>
      <c r="I451" s="52"/>
      <c r="J451" s="92"/>
      <c r="K451" s="92"/>
      <c r="L451" s="92"/>
      <c r="M451" s="92"/>
      <c r="N451" s="92"/>
      <c r="O451" s="92"/>
      <c r="P451" s="92"/>
    </row>
    <row r="452" spans="3:16" ht="12.75">
      <c r="C452" s="94"/>
      <c r="D452" s="22" t="s">
        <v>73</v>
      </c>
      <c r="E452" s="22" t="s">
        <v>74</v>
      </c>
      <c r="F452" s="23" t="s">
        <v>75</v>
      </c>
      <c r="G452" s="23"/>
      <c r="H452" s="95" t="s">
        <v>76</v>
      </c>
      <c r="P452" s="96"/>
    </row>
    <row r="453" spans="1:16" ht="12.75">
      <c r="A453" s="97">
        <f>SUM(A454:A474)</f>
        <v>132</v>
      </c>
      <c r="B453" s="97"/>
      <c r="C453" s="98" t="s">
        <v>77</v>
      </c>
      <c r="D453" s="23"/>
      <c r="E453" s="23"/>
      <c r="F453" s="23"/>
      <c r="G453" s="23"/>
      <c r="H453" s="99"/>
      <c r="I453" s="100">
        <f>SUM(I455:I474)</f>
        <v>312.98799999999994</v>
      </c>
      <c r="L453" s="100">
        <f>SUM(L455:L474)</f>
        <v>857.0799999999999</v>
      </c>
      <c r="M453" s="100">
        <f>SUM(M455:M474)</f>
        <v>173.30999999999997</v>
      </c>
      <c r="P453" s="96"/>
    </row>
    <row r="454" spans="1:16" ht="12.75">
      <c r="A454" s="101"/>
      <c r="B454" s="101"/>
      <c r="C454" s="102"/>
      <c r="D454" s="23"/>
      <c r="E454" s="23"/>
      <c r="F454" s="23"/>
      <c r="G454" s="23"/>
      <c r="H454" s="99"/>
      <c r="I454" s="100"/>
      <c r="L454" s="100"/>
      <c r="M454" s="100"/>
      <c r="P454" s="96"/>
    </row>
    <row r="455" spans="1:16" ht="12.75">
      <c r="A455" s="103">
        <f>1</f>
        <v>1</v>
      </c>
      <c r="B455" s="103"/>
      <c r="C455" s="102" t="s">
        <v>78</v>
      </c>
      <c r="D455" s="24">
        <f>0.97</f>
        <v>0.97</v>
      </c>
      <c r="E455" s="104">
        <f>0.57</f>
        <v>0.57</v>
      </c>
      <c r="F455" s="105">
        <f aca="true" t="shared" si="0" ref="F455:F471">D455*E455</f>
        <v>0.5529</v>
      </c>
      <c r="G455" s="105"/>
      <c r="H455" s="105">
        <f>2*(D455+E455)</f>
        <v>3.08</v>
      </c>
      <c r="I455" s="105">
        <f aca="true" t="shared" si="1" ref="I455:I474">A455*F455</f>
        <v>0.5529</v>
      </c>
      <c r="L455" s="105">
        <f aca="true" t="shared" si="2" ref="L455:L474">A455*(H455-D455)</f>
        <v>2.1100000000000003</v>
      </c>
      <c r="M455" s="105">
        <f aca="true" t="shared" si="3" ref="M455:M474">A455*D455</f>
        <v>0.97</v>
      </c>
      <c r="P455" s="106"/>
    </row>
    <row r="456" spans="1:13" ht="12.75">
      <c r="A456" s="103">
        <f>1</f>
        <v>1</v>
      </c>
      <c r="B456" s="103"/>
      <c r="C456" s="102" t="s">
        <v>79</v>
      </c>
      <c r="D456" s="24">
        <f>0.97</f>
        <v>0.97</v>
      </c>
      <c r="E456" s="104">
        <f>0.57</f>
        <v>0.57</v>
      </c>
      <c r="F456" s="105">
        <f t="shared" si="0"/>
        <v>0.5529</v>
      </c>
      <c r="G456" s="105"/>
      <c r="H456" s="105">
        <f>2*(D456+E456)</f>
        <v>3.08</v>
      </c>
      <c r="I456" s="105">
        <f t="shared" si="1"/>
        <v>0.5529</v>
      </c>
      <c r="L456" s="105">
        <f t="shared" si="2"/>
        <v>2.1100000000000003</v>
      </c>
      <c r="M456" s="105">
        <f t="shared" si="3"/>
        <v>0.97</v>
      </c>
    </row>
    <row r="457" spans="1:13" ht="12.75">
      <c r="A457" s="103">
        <f>1</f>
        <v>1</v>
      </c>
      <c r="B457" s="103"/>
      <c r="C457" s="102" t="s">
        <v>80</v>
      </c>
      <c r="D457" s="24">
        <f>2.97</f>
        <v>2.97</v>
      </c>
      <c r="E457" s="104">
        <f>0.57</f>
        <v>0.57</v>
      </c>
      <c r="F457" s="105">
        <f t="shared" si="0"/>
        <v>1.6929</v>
      </c>
      <c r="G457" s="105"/>
      <c r="H457" s="105">
        <f>(D457*2+4*E457)</f>
        <v>8.22</v>
      </c>
      <c r="I457" s="105">
        <f t="shared" si="1"/>
        <v>1.6929</v>
      </c>
      <c r="L457" s="105">
        <f t="shared" si="2"/>
        <v>5.25</v>
      </c>
      <c r="M457" s="105">
        <f t="shared" si="3"/>
        <v>2.97</v>
      </c>
    </row>
    <row r="458" spans="1:13" ht="12.75">
      <c r="A458" s="107">
        <f>1</f>
        <v>1</v>
      </c>
      <c r="B458" s="107"/>
      <c r="C458" s="102" t="s">
        <v>81</v>
      </c>
      <c r="D458" s="24">
        <f>0.53</f>
        <v>0.53</v>
      </c>
      <c r="E458" s="104">
        <f aca="true" t="shared" si="4" ref="E458:E464">1.77</f>
        <v>1.77</v>
      </c>
      <c r="F458" s="105">
        <f t="shared" si="0"/>
        <v>0.9381</v>
      </c>
      <c r="G458" s="105"/>
      <c r="H458" s="105">
        <f>2*(D458+E458)</f>
        <v>4.6</v>
      </c>
      <c r="I458" s="105">
        <f t="shared" si="1"/>
        <v>0.9381</v>
      </c>
      <c r="L458" s="105">
        <f t="shared" si="2"/>
        <v>4.069999999999999</v>
      </c>
      <c r="M458" s="105">
        <f t="shared" si="3"/>
        <v>0.53</v>
      </c>
    </row>
    <row r="459" spans="1:13" ht="12.75">
      <c r="A459" s="107">
        <f>1</f>
        <v>1</v>
      </c>
      <c r="B459" s="107"/>
      <c r="C459" s="102" t="s">
        <v>82</v>
      </c>
      <c r="D459" s="24">
        <f>0.77</f>
        <v>0.77</v>
      </c>
      <c r="E459" s="104">
        <f t="shared" si="4"/>
        <v>1.77</v>
      </c>
      <c r="F459" s="105">
        <f t="shared" si="0"/>
        <v>1.3629</v>
      </c>
      <c r="G459" s="105"/>
      <c r="H459" s="105">
        <f>2*(D459+E459)</f>
        <v>5.08</v>
      </c>
      <c r="I459" s="105">
        <f t="shared" si="1"/>
        <v>1.3629</v>
      </c>
      <c r="L459" s="105">
        <f t="shared" si="2"/>
        <v>4.3100000000000005</v>
      </c>
      <c r="M459" s="105">
        <f t="shared" si="3"/>
        <v>0.77</v>
      </c>
    </row>
    <row r="460" spans="1:13" ht="12.75">
      <c r="A460" s="107">
        <f>1</f>
        <v>1</v>
      </c>
      <c r="B460" s="107"/>
      <c r="C460" s="102" t="s">
        <v>83</v>
      </c>
      <c r="D460" s="24">
        <f>0.77</f>
        <v>0.77</v>
      </c>
      <c r="E460" s="104">
        <f t="shared" si="4"/>
        <v>1.77</v>
      </c>
      <c r="F460" s="105">
        <f t="shared" si="0"/>
        <v>1.3629</v>
      </c>
      <c r="G460" s="105"/>
      <c r="H460" s="105">
        <f>2*(D460+E460)</f>
        <v>5.08</v>
      </c>
      <c r="I460" s="105">
        <f t="shared" si="1"/>
        <v>1.3629</v>
      </c>
      <c r="L460" s="105">
        <f t="shared" si="2"/>
        <v>4.3100000000000005</v>
      </c>
      <c r="M460" s="105">
        <f t="shared" si="3"/>
        <v>0.77</v>
      </c>
    </row>
    <row r="461" spans="1:13" ht="12.75">
      <c r="A461" s="107">
        <f>10+16</f>
        <v>26</v>
      </c>
      <c r="B461" s="107"/>
      <c r="C461" s="102" t="s">
        <v>84</v>
      </c>
      <c r="D461" s="24">
        <f>1.17</f>
        <v>1.17</v>
      </c>
      <c r="E461" s="104">
        <f t="shared" si="4"/>
        <v>1.77</v>
      </c>
      <c r="F461" s="105">
        <f t="shared" si="0"/>
        <v>2.0709</v>
      </c>
      <c r="G461" s="105"/>
      <c r="H461" s="105">
        <f>2*(D461+E461)</f>
        <v>5.88</v>
      </c>
      <c r="I461" s="105">
        <f t="shared" si="1"/>
        <v>53.8434</v>
      </c>
      <c r="L461" s="105">
        <f t="shared" si="2"/>
        <v>122.46</v>
      </c>
      <c r="M461" s="105">
        <f t="shared" si="3"/>
        <v>30.419999999999998</v>
      </c>
    </row>
    <row r="462" spans="1:13" ht="12.75">
      <c r="A462" s="107">
        <f>10+13</f>
        <v>23</v>
      </c>
      <c r="B462" s="107"/>
      <c r="C462" s="102" t="s">
        <v>85</v>
      </c>
      <c r="D462" s="24">
        <f>1.17</f>
        <v>1.17</v>
      </c>
      <c r="E462" s="104">
        <f t="shared" si="4"/>
        <v>1.77</v>
      </c>
      <c r="F462" s="105">
        <f t="shared" si="0"/>
        <v>2.0709</v>
      </c>
      <c r="G462" s="105"/>
      <c r="H462" s="105">
        <f>2*(D462+E462)</f>
        <v>5.88</v>
      </c>
      <c r="I462" s="105">
        <f t="shared" si="1"/>
        <v>47.6307</v>
      </c>
      <c r="L462" s="105">
        <f t="shared" si="2"/>
        <v>108.33</v>
      </c>
      <c r="M462" s="105">
        <f t="shared" si="3"/>
        <v>26.909999999999997</v>
      </c>
    </row>
    <row r="463" spans="1:13" ht="12.75">
      <c r="A463" s="103">
        <f>8+14</f>
        <v>22</v>
      </c>
      <c r="B463" s="103"/>
      <c r="C463" s="102" t="s">
        <v>86</v>
      </c>
      <c r="D463" s="24">
        <f>1.57</f>
        <v>1.57</v>
      </c>
      <c r="E463" s="104">
        <f t="shared" si="4"/>
        <v>1.77</v>
      </c>
      <c r="F463" s="105">
        <f t="shared" si="0"/>
        <v>2.7789</v>
      </c>
      <c r="G463" s="105"/>
      <c r="H463" s="105">
        <f>3*(D463+E463)</f>
        <v>10.02</v>
      </c>
      <c r="I463" s="105">
        <f t="shared" si="1"/>
        <v>61.1358</v>
      </c>
      <c r="L463" s="105">
        <f t="shared" si="2"/>
        <v>185.89999999999998</v>
      </c>
      <c r="M463" s="105">
        <f t="shared" si="3"/>
        <v>34.54</v>
      </c>
    </row>
    <row r="464" spans="1:13" ht="12.75">
      <c r="A464" s="103">
        <f>7+13</f>
        <v>20</v>
      </c>
      <c r="B464" s="103"/>
      <c r="C464" s="102" t="s">
        <v>87</v>
      </c>
      <c r="D464" s="24">
        <f>1.57</f>
        <v>1.57</v>
      </c>
      <c r="E464" s="104">
        <f t="shared" si="4"/>
        <v>1.77</v>
      </c>
      <c r="F464" s="105">
        <f t="shared" si="0"/>
        <v>2.7789</v>
      </c>
      <c r="G464" s="105"/>
      <c r="H464" s="105">
        <f>3*(D464+E464)</f>
        <v>10.02</v>
      </c>
      <c r="I464" s="105">
        <f t="shared" si="1"/>
        <v>55.578</v>
      </c>
      <c r="L464" s="105">
        <f t="shared" si="2"/>
        <v>169</v>
      </c>
      <c r="M464" s="105">
        <f t="shared" si="3"/>
        <v>31.400000000000002</v>
      </c>
    </row>
    <row r="465" spans="1:13" ht="12.75">
      <c r="A465" s="103">
        <f>6</f>
        <v>6</v>
      </c>
      <c r="B465" s="103"/>
      <c r="C465" s="102" t="s">
        <v>88</v>
      </c>
      <c r="D465" s="24">
        <f>1.17</f>
        <v>1.17</v>
      </c>
      <c r="E465" s="104">
        <f>2.07</f>
        <v>2.07</v>
      </c>
      <c r="F465" s="105">
        <f t="shared" si="0"/>
        <v>2.4218999999999995</v>
      </c>
      <c r="G465" s="105"/>
      <c r="H465" s="105">
        <f>(D465*3+2*E465)</f>
        <v>7.6499999999999995</v>
      </c>
      <c r="I465" s="105">
        <f t="shared" si="1"/>
        <v>14.531399999999998</v>
      </c>
      <c r="L465" s="105">
        <f t="shared" si="2"/>
        <v>38.879999999999995</v>
      </c>
      <c r="M465" s="105">
        <f t="shared" si="3"/>
        <v>7.02</v>
      </c>
    </row>
    <row r="466" spans="1:13" ht="12.75">
      <c r="A466" s="103">
        <f>3+1+1</f>
        <v>5</v>
      </c>
      <c r="B466" s="103"/>
      <c r="C466" s="102" t="s">
        <v>89</v>
      </c>
      <c r="D466" s="24">
        <f>1.17</f>
        <v>1.17</v>
      </c>
      <c r="E466" s="104">
        <f>2.07</f>
        <v>2.07</v>
      </c>
      <c r="F466" s="105">
        <f t="shared" si="0"/>
        <v>2.4218999999999995</v>
      </c>
      <c r="G466" s="105"/>
      <c r="H466" s="105">
        <f>(D466*3+2*E466)</f>
        <v>7.6499999999999995</v>
      </c>
      <c r="I466" s="105">
        <f t="shared" si="1"/>
        <v>12.109499999999997</v>
      </c>
      <c r="L466" s="105">
        <f t="shared" si="2"/>
        <v>32.4</v>
      </c>
      <c r="M466" s="105">
        <f t="shared" si="3"/>
        <v>5.85</v>
      </c>
    </row>
    <row r="467" spans="1:13" ht="12.75">
      <c r="A467" s="108">
        <f>1</f>
        <v>1</v>
      </c>
      <c r="B467" s="108"/>
      <c r="C467" s="102" t="s">
        <v>90</v>
      </c>
      <c r="D467" s="24">
        <f>0.97</f>
        <v>0.97</v>
      </c>
      <c r="E467" s="104">
        <f>0.57</f>
        <v>0.57</v>
      </c>
      <c r="F467" s="105">
        <f t="shared" si="0"/>
        <v>0.5529</v>
      </c>
      <c r="G467" s="105"/>
      <c r="H467" s="105">
        <f>2*(D467+E467)</f>
        <v>3.08</v>
      </c>
      <c r="I467" s="105">
        <f t="shared" si="1"/>
        <v>0.5529</v>
      </c>
      <c r="L467" s="105">
        <f t="shared" si="2"/>
        <v>2.1100000000000003</v>
      </c>
      <c r="M467" s="105">
        <f t="shared" si="3"/>
        <v>0.97</v>
      </c>
    </row>
    <row r="468" spans="1:13" ht="12.75">
      <c r="A468" s="108">
        <f>1</f>
        <v>1</v>
      </c>
      <c r="B468" s="108"/>
      <c r="C468" s="102" t="s">
        <v>91</v>
      </c>
      <c r="D468" s="24">
        <f>2.62</f>
        <v>2.62</v>
      </c>
      <c r="E468" s="104">
        <f>2.07</f>
        <v>2.07</v>
      </c>
      <c r="F468" s="105">
        <f t="shared" si="0"/>
        <v>5.4234</v>
      </c>
      <c r="G468" s="105"/>
      <c r="H468" s="105">
        <f>3*(D468+E468)</f>
        <v>14.069999999999999</v>
      </c>
      <c r="I468" s="105">
        <f t="shared" si="1"/>
        <v>5.4234</v>
      </c>
      <c r="L468" s="105">
        <f t="shared" si="2"/>
        <v>11.45</v>
      </c>
      <c r="M468" s="105">
        <f t="shared" si="3"/>
        <v>2.62</v>
      </c>
    </row>
    <row r="469" spans="1:13" ht="12.75">
      <c r="A469" s="108">
        <f>10</f>
        <v>10</v>
      </c>
      <c r="B469" s="108"/>
      <c r="C469" s="102" t="s">
        <v>92</v>
      </c>
      <c r="D469" s="24">
        <f>0.77</f>
        <v>0.77</v>
      </c>
      <c r="E469" s="104">
        <f>3.37</f>
        <v>3.37</v>
      </c>
      <c r="F469" s="105">
        <f t="shared" si="0"/>
        <v>2.5949</v>
      </c>
      <c r="G469" s="105"/>
      <c r="H469" s="105">
        <f>(D469*4+2*E469)</f>
        <v>9.82</v>
      </c>
      <c r="I469" s="105">
        <f t="shared" si="1"/>
        <v>25.948999999999998</v>
      </c>
      <c r="L469" s="105">
        <f t="shared" si="2"/>
        <v>90.5</v>
      </c>
      <c r="M469" s="105">
        <f t="shared" si="3"/>
        <v>7.7</v>
      </c>
    </row>
    <row r="470" spans="1:13" ht="12.75">
      <c r="A470" s="109">
        <f>3</f>
        <v>3</v>
      </c>
      <c r="B470" s="109"/>
      <c r="C470" s="102" t="s">
        <v>93</v>
      </c>
      <c r="D470" s="24">
        <f>2.62</f>
        <v>2.62</v>
      </c>
      <c r="E470" s="104">
        <f>1.65</f>
        <v>1.65</v>
      </c>
      <c r="F470" s="105">
        <f t="shared" si="0"/>
        <v>4.3229999999999995</v>
      </c>
      <c r="G470" s="105"/>
      <c r="H470" s="105">
        <f>(D470*2+4*E470)</f>
        <v>11.84</v>
      </c>
      <c r="I470" s="105">
        <f t="shared" si="1"/>
        <v>12.968999999999998</v>
      </c>
      <c r="L470" s="105">
        <f t="shared" si="2"/>
        <v>27.659999999999997</v>
      </c>
      <c r="M470" s="105">
        <f t="shared" si="3"/>
        <v>7.86</v>
      </c>
    </row>
    <row r="471" spans="1:13" ht="12.75">
      <c r="A471" s="109">
        <f>1</f>
        <v>1</v>
      </c>
      <c r="B471" s="109"/>
      <c r="C471" s="102" t="s">
        <v>94</v>
      </c>
      <c r="D471" s="24">
        <f>0.92</f>
        <v>0.92</v>
      </c>
      <c r="E471" s="104">
        <f>1.87</f>
        <v>1.87</v>
      </c>
      <c r="F471" s="105">
        <f t="shared" si="0"/>
        <v>1.7204000000000002</v>
      </c>
      <c r="G471" s="105"/>
      <c r="H471" s="105">
        <f>(D471*3+2*E471)</f>
        <v>6.5</v>
      </c>
      <c r="I471" s="105">
        <f t="shared" si="1"/>
        <v>1.7204000000000002</v>
      </c>
      <c r="L471" s="105">
        <f t="shared" si="2"/>
        <v>5.58</v>
      </c>
      <c r="M471" s="105">
        <f t="shared" si="3"/>
        <v>0.92</v>
      </c>
    </row>
    <row r="472" spans="1:13" ht="12.75">
      <c r="A472" s="109">
        <f>2</f>
        <v>2</v>
      </c>
      <c r="B472" s="109"/>
      <c r="C472" s="102" t="s">
        <v>95</v>
      </c>
      <c r="D472" s="24">
        <f>1.85</f>
        <v>1.85</v>
      </c>
      <c r="E472" s="104">
        <f>1.57</f>
        <v>1.57</v>
      </c>
      <c r="F472" s="105">
        <f>D472*0.435+(D472*1.14)/2</f>
        <v>1.85925</v>
      </c>
      <c r="G472" s="105"/>
      <c r="H472" s="105">
        <f>(D472*2+1.5+0.435+1.14+E472)</f>
        <v>8.344999999999999</v>
      </c>
      <c r="I472" s="105">
        <f t="shared" si="1"/>
        <v>3.7185</v>
      </c>
      <c r="L472" s="105">
        <f t="shared" si="2"/>
        <v>12.989999999999998</v>
      </c>
      <c r="M472" s="105">
        <f t="shared" si="3"/>
        <v>3.7</v>
      </c>
    </row>
    <row r="473" spans="1:13" ht="12.75">
      <c r="A473" s="110">
        <f>3</f>
        <v>3</v>
      </c>
      <c r="B473" s="110"/>
      <c r="C473" s="102" t="s">
        <v>96</v>
      </c>
      <c r="D473" s="24">
        <f>0.97</f>
        <v>0.97</v>
      </c>
      <c r="E473" s="104">
        <f>1.77</f>
        <v>1.77</v>
      </c>
      <c r="F473" s="105">
        <f>D473*E473</f>
        <v>1.7168999999999999</v>
      </c>
      <c r="G473" s="105"/>
      <c r="H473" s="105">
        <f>2*(D473+E473)</f>
        <v>5.48</v>
      </c>
      <c r="I473" s="105">
        <f t="shared" si="1"/>
        <v>5.1507</v>
      </c>
      <c r="L473" s="105">
        <f t="shared" si="2"/>
        <v>13.530000000000001</v>
      </c>
      <c r="M473" s="105">
        <f t="shared" si="3"/>
        <v>2.91</v>
      </c>
    </row>
    <row r="474" spans="1:13" ht="12.75">
      <c r="A474" s="110">
        <f>3</f>
        <v>3</v>
      </c>
      <c r="B474" s="110"/>
      <c r="C474" s="102" t="s">
        <v>84</v>
      </c>
      <c r="D474" s="24">
        <f>1.17</f>
        <v>1.17</v>
      </c>
      <c r="E474" s="104">
        <f>1.77</f>
        <v>1.77</v>
      </c>
      <c r="F474" s="105">
        <f>D474*E474</f>
        <v>2.0709</v>
      </c>
      <c r="G474" s="105"/>
      <c r="H474" s="105">
        <f>2*(D474+E474)</f>
        <v>5.88</v>
      </c>
      <c r="I474" s="105">
        <f t="shared" si="1"/>
        <v>6.2127</v>
      </c>
      <c r="L474" s="105">
        <f t="shared" si="2"/>
        <v>14.129999999999999</v>
      </c>
      <c r="M474" s="105">
        <f t="shared" si="3"/>
        <v>3.51</v>
      </c>
    </row>
    <row r="475" spans="1:9" ht="12.75">
      <c r="A475" s="52"/>
      <c r="B475" s="52"/>
      <c r="D475" s="52"/>
      <c r="E475" s="52"/>
      <c r="H475" s="52"/>
      <c r="I475" s="52"/>
    </row>
    <row r="476" spans="1:13" ht="12.75">
      <c r="A476" s="101">
        <f>A456+A460+A463+A468</f>
        <v>25</v>
      </c>
      <c r="B476" s="101"/>
      <c r="C476" s="102"/>
      <c r="D476" s="24"/>
      <c r="E476" s="104"/>
      <c r="F476" s="105"/>
      <c r="G476" s="105"/>
      <c r="H476" s="105">
        <f>1.57-0.435</f>
        <v>1.135</v>
      </c>
      <c r="I476" s="105"/>
      <c r="L476" s="105"/>
      <c r="M476" s="105"/>
    </row>
    <row r="477" spans="1:13" ht="12.75">
      <c r="A477" s="93">
        <f>A457+A464</f>
        <v>21</v>
      </c>
      <c r="C477" s="102"/>
      <c r="D477" s="24"/>
      <c r="E477" s="104"/>
      <c r="F477" s="105"/>
      <c r="G477" s="105"/>
      <c r="H477" s="105"/>
      <c r="I477" s="105"/>
      <c r="L477" s="105"/>
      <c r="M477" s="105"/>
    </row>
    <row r="478" spans="1:13" ht="12.75">
      <c r="A478" s="97">
        <f>SUM(A479:A492)</f>
        <v>13</v>
      </c>
      <c r="B478" s="97"/>
      <c r="C478" s="98" t="s">
        <v>97</v>
      </c>
      <c r="D478" s="24"/>
      <c r="E478" s="104"/>
      <c r="F478" s="105"/>
      <c r="G478" s="105"/>
      <c r="H478" s="105"/>
      <c r="I478" s="100">
        <f>SUM(I479:I492)</f>
        <v>123.65119999999999</v>
      </c>
      <c r="L478" s="100">
        <f>SUM(L479:L492)</f>
        <v>333.67</v>
      </c>
      <c r="M478" s="100">
        <f>SUM(M479:M492)</f>
        <v>25.910000000000004</v>
      </c>
    </row>
    <row r="479" spans="1:13" ht="12.75">
      <c r="A479" s="101"/>
      <c r="B479" s="101"/>
      <c r="C479" s="98"/>
      <c r="D479" s="24"/>
      <c r="E479" s="104"/>
      <c r="F479" s="105"/>
      <c r="G479" s="105"/>
      <c r="H479" s="105"/>
      <c r="I479" s="100"/>
      <c r="L479" s="100"/>
      <c r="M479" s="100"/>
    </row>
    <row r="480" spans="1:13" ht="12.75">
      <c r="A480" s="101">
        <f>1</f>
        <v>1</v>
      </c>
      <c r="B480" s="101"/>
      <c r="C480" s="102" t="s">
        <v>98</v>
      </c>
      <c r="D480" s="24">
        <f>2.53</f>
        <v>2.53</v>
      </c>
      <c r="E480" s="104">
        <f>2.92</f>
        <v>2.92</v>
      </c>
      <c r="F480" s="105">
        <f aca="true" t="shared" si="5" ref="F480:F491">D480*E480</f>
        <v>7.387599999999999</v>
      </c>
      <c r="G480" s="105"/>
      <c r="H480" s="105">
        <f>(D480*5+E480*3)</f>
        <v>21.409999999999997</v>
      </c>
      <c r="I480" s="105">
        <f aca="true" t="shared" si="6" ref="I480:I491">A480*F480</f>
        <v>7.387599999999999</v>
      </c>
      <c r="L480" s="105">
        <f aca="true" t="shared" si="7" ref="L480:L491">A480*(H480-D480)</f>
        <v>18.879999999999995</v>
      </c>
      <c r="M480" s="105">
        <f aca="true" t="shared" si="8" ref="M480:M491">A480*D480</f>
        <v>2.53</v>
      </c>
    </row>
    <row r="481" spans="1:13" ht="12.75">
      <c r="A481" s="101">
        <f>1</f>
        <v>1</v>
      </c>
      <c r="B481" s="101"/>
      <c r="C481" s="102" t="s">
        <v>99</v>
      </c>
      <c r="D481" s="24">
        <f>3.47</f>
        <v>3.47</v>
      </c>
      <c r="E481" s="104">
        <f>2.92</f>
        <v>2.92</v>
      </c>
      <c r="F481" s="105">
        <f t="shared" si="5"/>
        <v>10.1324</v>
      </c>
      <c r="G481" s="105"/>
      <c r="H481" s="105">
        <f>(D481*5+E481*4)</f>
        <v>29.03</v>
      </c>
      <c r="I481" s="105">
        <f t="shared" si="6"/>
        <v>10.1324</v>
      </c>
      <c r="L481" s="105">
        <f t="shared" si="7"/>
        <v>25.560000000000002</v>
      </c>
      <c r="M481" s="105">
        <f t="shared" si="8"/>
        <v>3.47</v>
      </c>
    </row>
    <row r="482" spans="1:13" ht="12.75">
      <c r="A482" s="101">
        <f>1</f>
        <v>1</v>
      </c>
      <c r="B482" s="101"/>
      <c r="C482" s="102" t="s">
        <v>100</v>
      </c>
      <c r="D482" s="24">
        <f>1.12</f>
        <v>1.12</v>
      </c>
      <c r="E482" s="104">
        <f>6.5</f>
        <v>6.5</v>
      </c>
      <c r="F482" s="105">
        <f t="shared" si="5"/>
        <v>7.280000000000001</v>
      </c>
      <c r="G482" s="105"/>
      <c r="H482" s="105">
        <f>(D482*7+E482*2)</f>
        <v>20.84</v>
      </c>
      <c r="I482" s="105">
        <f t="shared" si="6"/>
        <v>7.280000000000001</v>
      </c>
      <c r="L482" s="105">
        <f t="shared" si="7"/>
        <v>19.72</v>
      </c>
      <c r="M482" s="105">
        <f t="shared" si="8"/>
        <v>1.12</v>
      </c>
    </row>
    <row r="483" spans="1:13" ht="12.75">
      <c r="A483" s="101">
        <f>1</f>
        <v>1</v>
      </c>
      <c r="B483" s="101"/>
      <c r="C483" s="102" t="s">
        <v>101</v>
      </c>
      <c r="D483" s="24">
        <f>1.23</f>
        <v>1.23</v>
      </c>
      <c r="E483" s="104">
        <f>6.5</f>
        <v>6.5</v>
      </c>
      <c r="F483" s="105">
        <f t="shared" si="5"/>
        <v>7.995</v>
      </c>
      <c r="G483" s="105"/>
      <c r="H483" s="105">
        <f>(D483*8+E483*2)</f>
        <v>22.84</v>
      </c>
      <c r="I483" s="105">
        <f t="shared" si="6"/>
        <v>7.995</v>
      </c>
      <c r="L483" s="105">
        <f t="shared" si="7"/>
        <v>21.61</v>
      </c>
      <c r="M483" s="105">
        <f t="shared" si="8"/>
        <v>1.23</v>
      </c>
    </row>
    <row r="484" spans="1:13" ht="12.75">
      <c r="A484" s="101">
        <f>1+1</f>
        <v>2</v>
      </c>
      <c r="B484" s="101"/>
      <c r="C484" s="102" t="s">
        <v>102</v>
      </c>
      <c r="D484" s="24">
        <f>3.02</f>
        <v>3.02</v>
      </c>
      <c r="E484" s="104">
        <f>2.92</f>
        <v>2.92</v>
      </c>
      <c r="F484" s="105">
        <f t="shared" si="5"/>
        <v>8.8184</v>
      </c>
      <c r="G484" s="105"/>
      <c r="H484" s="105">
        <f>(D484*5+E484*4)</f>
        <v>26.78</v>
      </c>
      <c r="I484" s="105">
        <f t="shared" si="6"/>
        <v>17.6368</v>
      </c>
      <c r="L484" s="105">
        <f t="shared" si="7"/>
        <v>47.52</v>
      </c>
      <c r="M484" s="105">
        <f t="shared" si="8"/>
        <v>6.04</v>
      </c>
    </row>
    <row r="485" spans="1:13" ht="12.75">
      <c r="A485" s="101">
        <f>1</f>
        <v>1</v>
      </c>
      <c r="B485" s="101"/>
      <c r="C485" s="102" t="s">
        <v>103</v>
      </c>
      <c r="D485" s="24">
        <f>2.3</f>
        <v>2.3</v>
      </c>
      <c r="E485" s="104">
        <f>6.5</f>
        <v>6.5</v>
      </c>
      <c r="F485" s="105">
        <f t="shared" si="5"/>
        <v>14.95</v>
      </c>
      <c r="G485" s="105"/>
      <c r="H485" s="105">
        <f>(D485*9+E485*4)</f>
        <v>46.7</v>
      </c>
      <c r="I485" s="105">
        <f t="shared" si="6"/>
        <v>14.95</v>
      </c>
      <c r="L485" s="105">
        <f t="shared" si="7"/>
        <v>44.400000000000006</v>
      </c>
      <c r="M485" s="105">
        <f t="shared" si="8"/>
        <v>2.3</v>
      </c>
    </row>
    <row r="486" spans="1:13" ht="12.75">
      <c r="A486" s="101">
        <f>1</f>
        <v>1</v>
      </c>
      <c r="B486" s="101"/>
      <c r="C486" s="102" t="s">
        <v>104</v>
      </c>
      <c r="D486" s="24">
        <f>0.97</f>
        <v>0.97</v>
      </c>
      <c r="E486" s="104">
        <f>3.37</f>
        <v>3.37</v>
      </c>
      <c r="F486" s="105">
        <f t="shared" si="5"/>
        <v>3.2689</v>
      </c>
      <c r="G486" s="105"/>
      <c r="H486" s="105">
        <f>(D486*5+E486*2)</f>
        <v>11.59</v>
      </c>
      <c r="I486" s="105">
        <f t="shared" si="6"/>
        <v>3.2689</v>
      </c>
      <c r="L486" s="105">
        <f t="shared" si="7"/>
        <v>10.62</v>
      </c>
      <c r="M486" s="105">
        <f t="shared" si="8"/>
        <v>0.97</v>
      </c>
    </row>
    <row r="487" spans="1:13" ht="12.75">
      <c r="A487" s="101">
        <f>1</f>
        <v>1</v>
      </c>
      <c r="B487" s="101"/>
      <c r="C487" s="102" t="s">
        <v>105</v>
      </c>
      <c r="D487" s="24">
        <f>1.1</f>
        <v>1.1</v>
      </c>
      <c r="E487" s="104">
        <f>5.6</f>
        <v>5.6</v>
      </c>
      <c r="F487" s="105">
        <f t="shared" si="5"/>
        <v>6.16</v>
      </c>
      <c r="G487" s="105"/>
      <c r="H487" s="105">
        <f>(D487*7+E487*2)</f>
        <v>18.9</v>
      </c>
      <c r="I487" s="105">
        <f t="shared" si="6"/>
        <v>6.16</v>
      </c>
      <c r="L487" s="105">
        <f t="shared" si="7"/>
        <v>17.799999999999997</v>
      </c>
      <c r="M487" s="105">
        <f t="shared" si="8"/>
        <v>1.1</v>
      </c>
    </row>
    <row r="488" spans="1:13" ht="12.75">
      <c r="A488" s="101">
        <f>1</f>
        <v>1</v>
      </c>
      <c r="B488" s="101"/>
      <c r="C488" s="102" t="s">
        <v>106</v>
      </c>
      <c r="D488" s="24">
        <f>2.3</f>
        <v>2.3</v>
      </c>
      <c r="E488" s="104">
        <f>6.5</f>
        <v>6.5</v>
      </c>
      <c r="F488" s="105">
        <f t="shared" si="5"/>
        <v>14.95</v>
      </c>
      <c r="G488" s="105"/>
      <c r="H488" s="105">
        <f>(D488*9+E488*4)</f>
        <v>46.7</v>
      </c>
      <c r="I488" s="105">
        <f t="shared" si="6"/>
        <v>14.95</v>
      </c>
      <c r="L488" s="105">
        <f t="shared" si="7"/>
        <v>44.400000000000006</v>
      </c>
      <c r="M488" s="105">
        <f t="shared" si="8"/>
        <v>2.3</v>
      </c>
    </row>
    <row r="489" spans="1:13" ht="12.75">
      <c r="A489" s="101">
        <f>1</f>
        <v>1</v>
      </c>
      <c r="B489" s="101"/>
      <c r="C489" s="102" t="s">
        <v>107</v>
      </c>
      <c r="D489" s="24">
        <f>0.7</f>
        <v>0.7</v>
      </c>
      <c r="E489" s="104">
        <f>6.1</f>
        <v>6.1</v>
      </c>
      <c r="F489" s="105">
        <f t="shared" si="5"/>
        <v>4.27</v>
      </c>
      <c r="G489" s="105"/>
      <c r="H489" s="105">
        <f>(D489*7+E489*2)</f>
        <v>17.099999999999998</v>
      </c>
      <c r="I489" s="105">
        <f t="shared" si="6"/>
        <v>4.27</v>
      </c>
      <c r="L489" s="105">
        <f t="shared" si="7"/>
        <v>16.4</v>
      </c>
      <c r="M489" s="105">
        <f t="shared" si="8"/>
        <v>0.7</v>
      </c>
    </row>
    <row r="490" spans="1:13" ht="12.75">
      <c r="A490" s="101">
        <f>1</f>
        <v>1</v>
      </c>
      <c r="B490" s="101"/>
      <c r="C490" s="102" t="s">
        <v>108</v>
      </c>
      <c r="D490" s="24">
        <f>3.05</f>
        <v>3.05</v>
      </c>
      <c r="E490" s="104">
        <f>7.05</f>
        <v>7.05</v>
      </c>
      <c r="F490" s="105">
        <f t="shared" si="5"/>
        <v>21.502499999999998</v>
      </c>
      <c r="G490" s="105"/>
      <c r="H490" s="105">
        <f>(D490*7+E490*4)</f>
        <v>49.55</v>
      </c>
      <c r="I490" s="105">
        <f t="shared" si="6"/>
        <v>21.502499999999998</v>
      </c>
      <c r="L490" s="105">
        <f t="shared" si="7"/>
        <v>46.5</v>
      </c>
      <c r="M490" s="105">
        <f t="shared" si="8"/>
        <v>3.05</v>
      </c>
    </row>
    <row r="491" spans="1:13" ht="12.75">
      <c r="A491" s="101">
        <f>1</f>
        <v>1</v>
      </c>
      <c r="B491" s="101"/>
      <c r="C491" s="102" t="s">
        <v>109</v>
      </c>
      <c r="D491" s="24">
        <f>1.1</f>
        <v>1.1</v>
      </c>
      <c r="E491" s="104">
        <f>7.38</f>
        <v>7.38</v>
      </c>
      <c r="F491" s="105">
        <f t="shared" si="5"/>
        <v>8.118</v>
      </c>
      <c r="G491" s="105"/>
      <c r="H491" s="105">
        <f>(D491*6+E491*2)</f>
        <v>21.36</v>
      </c>
      <c r="I491" s="105">
        <f t="shared" si="6"/>
        <v>8.118</v>
      </c>
      <c r="L491" s="105">
        <f t="shared" si="7"/>
        <v>20.259999999999998</v>
      </c>
      <c r="M491" s="105">
        <f t="shared" si="8"/>
        <v>1.1</v>
      </c>
    </row>
    <row r="492" spans="1:13" ht="12.75">
      <c r="A492" s="111"/>
      <c r="B492" s="111"/>
      <c r="C492" s="102"/>
      <c r="D492" s="24"/>
      <c r="E492" s="104"/>
      <c r="F492" s="105"/>
      <c r="G492" s="105"/>
      <c r="H492" s="105"/>
      <c r="I492" s="105"/>
      <c r="L492" s="105"/>
      <c r="M492" s="105"/>
    </row>
    <row r="493" spans="1:13" ht="12.75">
      <c r="A493" s="111"/>
      <c r="B493" s="111"/>
      <c r="C493" s="102"/>
      <c r="D493" s="24"/>
      <c r="E493" s="104"/>
      <c r="F493" s="105"/>
      <c r="G493" s="105"/>
      <c r="H493" s="105"/>
      <c r="I493" s="105"/>
      <c r="L493" s="105"/>
      <c r="M493" s="105"/>
    </row>
    <row r="494" spans="1:13" ht="12.75">
      <c r="A494" s="97">
        <f>SUM(A495:A504)</f>
        <v>9</v>
      </c>
      <c r="B494" s="97"/>
      <c r="C494" s="98" t="s">
        <v>110</v>
      </c>
      <c r="D494" s="24"/>
      <c r="E494" s="104"/>
      <c r="F494" s="105"/>
      <c r="G494" s="105"/>
      <c r="H494" s="105"/>
      <c r="I494" s="100">
        <f>SUM(I495:I504)</f>
        <v>29.242800000000003</v>
      </c>
      <c r="L494" s="100">
        <f>SUM(L496:L508)</f>
        <v>225.68</v>
      </c>
      <c r="M494" s="100">
        <f>SUM(M496:M508)</f>
        <v>48.45</v>
      </c>
    </row>
    <row r="495" spans="1:13" ht="12.75">
      <c r="A495" s="111"/>
      <c r="B495" s="111"/>
      <c r="C495" s="98"/>
      <c r="D495" s="24"/>
      <c r="E495" s="104"/>
      <c r="F495" s="105"/>
      <c r="G495" s="105"/>
      <c r="H495" s="105"/>
      <c r="I495" s="100"/>
      <c r="L495" s="100"/>
      <c r="M495" s="100"/>
    </row>
    <row r="496" spans="1:13" ht="12.75">
      <c r="A496" s="112">
        <f>1</f>
        <v>1</v>
      </c>
      <c r="B496" s="112"/>
      <c r="C496" s="113" t="s">
        <v>111</v>
      </c>
      <c r="D496" s="104">
        <f>1.57</f>
        <v>1.57</v>
      </c>
      <c r="E496" s="24">
        <f>2.57</f>
        <v>2.57</v>
      </c>
      <c r="F496" s="105">
        <f aca="true" t="shared" si="9" ref="F496:F503">D496*E496</f>
        <v>4.0348999999999995</v>
      </c>
      <c r="G496" s="105"/>
      <c r="H496" s="105">
        <f>3*(D496+E496)</f>
        <v>12.419999999999998</v>
      </c>
      <c r="I496" s="105">
        <f aca="true" t="shared" si="10" ref="I496:I503">A496*F496</f>
        <v>4.0348999999999995</v>
      </c>
      <c r="L496" s="105">
        <f aca="true" t="shared" si="11" ref="L496:L503">A496*(H496-E496)</f>
        <v>9.849999999999998</v>
      </c>
      <c r="M496" s="105">
        <f aca="true" t="shared" si="12" ref="M496:M503">A496*E496</f>
        <v>2.57</v>
      </c>
    </row>
    <row r="497" spans="1:13" ht="12.75">
      <c r="A497" s="112">
        <f>1</f>
        <v>1</v>
      </c>
      <c r="B497" s="112"/>
      <c r="C497" s="113" t="s">
        <v>112</v>
      </c>
      <c r="D497" s="104">
        <f>0.98</f>
        <v>0.98</v>
      </c>
      <c r="E497" s="24">
        <f>2.57</f>
        <v>2.57</v>
      </c>
      <c r="F497" s="105">
        <f t="shared" si="9"/>
        <v>2.5185999999999997</v>
      </c>
      <c r="G497" s="105"/>
      <c r="H497" s="105">
        <f>(D497*3+2*E497)</f>
        <v>8.08</v>
      </c>
      <c r="I497" s="105">
        <f t="shared" si="10"/>
        <v>2.5185999999999997</v>
      </c>
      <c r="L497" s="105">
        <f t="shared" si="11"/>
        <v>5.51</v>
      </c>
      <c r="M497" s="105">
        <f t="shared" si="12"/>
        <v>2.57</v>
      </c>
    </row>
    <row r="498" spans="1:13" ht="12.75">
      <c r="A498" s="112">
        <f>1</f>
        <v>1</v>
      </c>
      <c r="B498" s="112"/>
      <c r="C498" s="113" t="s">
        <v>113</v>
      </c>
      <c r="D498" s="104">
        <f>1.77</f>
        <v>1.77</v>
      </c>
      <c r="E498" s="24">
        <f>2.57</f>
        <v>2.57</v>
      </c>
      <c r="F498" s="105">
        <f t="shared" si="9"/>
        <v>4.5489</v>
      </c>
      <c r="G498" s="105"/>
      <c r="H498" s="105">
        <f>(D498*3+2*E498)</f>
        <v>10.45</v>
      </c>
      <c r="I498" s="105">
        <f t="shared" si="10"/>
        <v>4.5489</v>
      </c>
      <c r="L498" s="105">
        <f t="shared" si="11"/>
        <v>7.879999999999999</v>
      </c>
      <c r="M498" s="105">
        <f t="shared" si="12"/>
        <v>2.57</v>
      </c>
    </row>
    <row r="499" spans="1:13" ht="12.75">
      <c r="A499" s="112">
        <f>1</f>
        <v>1</v>
      </c>
      <c r="B499" s="112"/>
      <c r="C499" s="113" t="s">
        <v>114</v>
      </c>
      <c r="D499" s="104">
        <f>1.37</f>
        <v>1.37</v>
      </c>
      <c r="E499" s="24">
        <f>2.07</f>
        <v>2.07</v>
      </c>
      <c r="F499" s="105">
        <f t="shared" si="9"/>
        <v>2.8359</v>
      </c>
      <c r="G499" s="105"/>
      <c r="H499" s="105">
        <f>3*(D499+E499)</f>
        <v>10.32</v>
      </c>
      <c r="I499" s="105">
        <f t="shared" si="10"/>
        <v>2.8359</v>
      </c>
      <c r="L499" s="105">
        <f t="shared" si="11"/>
        <v>8.25</v>
      </c>
      <c r="M499" s="105">
        <f t="shared" si="12"/>
        <v>2.07</v>
      </c>
    </row>
    <row r="500" spans="1:13" ht="12.75">
      <c r="A500" s="112">
        <f>1+1</f>
        <v>2</v>
      </c>
      <c r="B500" s="112"/>
      <c r="C500" s="113" t="s">
        <v>115</v>
      </c>
      <c r="D500" s="104">
        <f>0.97</f>
        <v>0.97</v>
      </c>
      <c r="E500" s="24">
        <f>2.07</f>
        <v>2.07</v>
      </c>
      <c r="F500" s="105">
        <f t="shared" si="9"/>
        <v>2.0079</v>
      </c>
      <c r="G500" s="105"/>
      <c r="H500" s="105">
        <f>2*(D500+E500)</f>
        <v>6.08</v>
      </c>
      <c r="I500" s="105">
        <f t="shared" si="10"/>
        <v>4.0158</v>
      </c>
      <c r="L500" s="105">
        <f t="shared" si="11"/>
        <v>8.02</v>
      </c>
      <c r="M500" s="105">
        <f t="shared" si="12"/>
        <v>4.14</v>
      </c>
    </row>
    <row r="501" spans="1:13" ht="12.75">
      <c r="A501" s="112">
        <f>1</f>
        <v>1</v>
      </c>
      <c r="B501" s="112"/>
      <c r="C501" s="113" t="s">
        <v>116</v>
      </c>
      <c r="D501" s="104">
        <f>1.77</f>
        <v>1.77</v>
      </c>
      <c r="E501" s="24">
        <f>2.07</f>
        <v>2.07</v>
      </c>
      <c r="F501" s="105">
        <f t="shared" si="9"/>
        <v>3.6639</v>
      </c>
      <c r="G501" s="105"/>
      <c r="H501" s="105">
        <f>2*(D501+E501)</f>
        <v>7.68</v>
      </c>
      <c r="I501" s="105">
        <f t="shared" si="10"/>
        <v>3.6639</v>
      </c>
      <c r="L501" s="105">
        <f t="shared" si="11"/>
        <v>5.609999999999999</v>
      </c>
      <c r="M501" s="105">
        <f t="shared" si="12"/>
        <v>2.07</v>
      </c>
    </row>
    <row r="502" spans="1:13" ht="12.75">
      <c r="A502" s="112">
        <f>1</f>
        <v>1</v>
      </c>
      <c r="B502" s="112"/>
      <c r="C502" s="113" t="s">
        <v>117</v>
      </c>
      <c r="D502" s="104">
        <f>0.97</f>
        <v>0.97</v>
      </c>
      <c r="E502" s="24">
        <f>2.07</f>
        <v>2.07</v>
      </c>
      <c r="F502" s="105">
        <f t="shared" si="9"/>
        <v>2.0079</v>
      </c>
      <c r="G502" s="105"/>
      <c r="H502" s="105">
        <f>(D502*3+2*E502)</f>
        <v>7.05</v>
      </c>
      <c r="I502" s="105">
        <f t="shared" si="10"/>
        <v>2.0079</v>
      </c>
      <c r="L502" s="105">
        <f t="shared" si="11"/>
        <v>4.98</v>
      </c>
      <c r="M502" s="105">
        <f t="shared" si="12"/>
        <v>2.07</v>
      </c>
    </row>
    <row r="503" spans="1:13" ht="12.75">
      <c r="A503" s="112">
        <f>1</f>
        <v>1</v>
      </c>
      <c r="B503" s="112"/>
      <c r="C503" s="113" t="s">
        <v>118</v>
      </c>
      <c r="D503" s="104">
        <f>2.37</f>
        <v>2.37</v>
      </c>
      <c r="E503" s="104">
        <f>2.37</f>
        <v>2.37</v>
      </c>
      <c r="F503" s="105">
        <f t="shared" si="9"/>
        <v>5.6169</v>
      </c>
      <c r="G503" s="105"/>
      <c r="H503" s="105">
        <f>2*(D503+E503)</f>
        <v>9.48</v>
      </c>
      <c r="I503" s="105">
        <f t="shared" si="10"/>
        <v>5.6169</v>
      </c>
      <c r="L503" s="105">
        <f t="shared" si="11"/>
        <v>7.11</v>
      </c>
      <c r="M503" s="105">
        <f t="shared" si="12"/>
        <v>2.37</v>
      </c>
    </row>
    <row r="504" spans="1:13" ht="12.75">
      <c r="A504" s="112"/>
      <c r="B504" s="112"/>
      <c r="C504" s="113"/>
      <c r="D504" s="104"/>
      <c r="E504" s="24"/>
      <c r="F504" s="105"/>
      <c r="G504" s="105"/>
      <c r="H504" s="105"/>
      <c r="I504" s="105"/>
      <c r="L504" s="105"/>
      <c r="M504" s="105"/>
    </row>
    <row r="505" spans="1:13" ht="12.75">
      <c r="A505" s="112"/>
      <c r="B505" s="112"/>
      <c r="C505" s="113"/>
      <c r="D505" s="104"/>
      <c r="E505" s="24"/>
      <c r="F505" s="105"/>
      <c r="G505" s="105"/>
      <c r="H505" s="105"/>
      <c r="I505" s="105"/>
      <c r="L505" s="105"/>
      <c r="M505" s="105"/>
    </row>
    <row r="506" spans="1:13" ht="12.75">
      <c r="A506" s="97">
        <f>SUM(A507:A515)</f>
        <v>12</v>
      </c>
      <c r="B506" s="97"/>
      <c r="C506" s="114" t="s">
        <v>119</v>
      </c>
      <c r="D506" s="24"/>
      <c r="E506" s="104"/>
      <c r="F506" s="105"/>
      <c r="G506" s="105"/>
      <c r="H506" s="105"/>
      <c r="I506" s="100">
        <f>SUM(I507:I515)</f>
        <v>61.446000000000005</v>
      </c>
      <c r="L506" s="100">
        <f>SUM(L507:L520)</f>
        <v>148.48</v>
      </c>
      <c r="M506" s="100">
        <f>SUM(M507:M520)</f>
        <v>25.25</v>
      </c>
    </row>
    <row r="507" spans="1:13" ht="12.75">
      <c r="A507" s="101"/>
      <c r="B507" s="101"/>
      <c r="C507" s="98"/>
      <c r="D507" s="24"/>
      <c r="E507" s="104"/>
      <c r="F507" s="105"/>
      <c r="G507" s="105"/>
      <c r="H507" s="105"/>
      <c r="I507" s="100"/>
      <c r="L507" s="100"/>
      <c r="M507" s="100"/>
    </row>
    <row r="508" spans="1:13" ht="12.75">
      <c r="A508" s="101">
        <f>1</f>
        <v>1</v>
      </c>
      <c r="B508" s="101"/>
      <c r="C508" s="102" t="s">
        <v>120</v>
      </c>
      <c r="D508" s="24">
        <f>2.77</f>
        <v>2.77</v>
      </c>
      <c r="E508" s="104">
        <f>2.92</f>
        <v>2.92</v>
      </c>
      <c r="F508" s="105">
        <f aca="true" t="shared" si="13" ref="F508:F514">D508*E508</f>
        <v>8.0884</v>
      </c>
      <c r="G508" s="105"/>
      <c r="H508" s="105">
        <f>(D508*4+E508*4)</f>
        <v>22.759999999999998</v>
      </c>
      <c r="I508" s="105">
        <f aca="true" t="shared" si="14" ref="I508:I514">A508*F508</f>
        <v>8.0884</v>
      </c>
      <c r="L508" s="105">
        <f aca="true" t="shared" si="15" ref="L508:L514">A508*(H508-D508)</f>
        <v>19.99</v>
      </c>
      <c r="M508" s="105">
        <f aca="true" t="shared" si="16" ref="M508:M514">A508*D508</f>
        <v>2.77</v>
      </c>
    </row>
    <row r="509" spans="1:13" ht="12.75">
      <c r="A509" s="101">
        <f>1</f>
        <v>1</v>
      </c>
      <c r="B509" s="101"/>
      <c r="C509" s="102" t="s">
        <v>121</v>
      </c>
      <c r="D509" s="24">
        <f>2.965</f>
        <v>2.965</v>
      </c>
      <c r="E509" s="104">
        <f>2.67</f>
        <v>2.67</v>
      </c>
      <c r="F509" s="105">
        <f t="shared" si="13"/>
        <v>7.916549999999999</v>
      </c>
      <c r="G509" s="105"/>
      <c r="H509" s="105">
        <f>(D509*4+E509*4)</f>
        <v>22.54</v>
      </c>
      <c r="I509" s="105">
        <f t="shared" si="14"/>
        <v>7.916549999999999</v>
      </c>
      <c r="L509" s="105">
        <f t="shared" si="15"/>
        <v>19.575</v>
      </c>
      <c r="M509" s="105">
        <f t="shared" si="16"/>
        <v>2.965</v>
      </c>
    </row>
    <row r="510" spans="1:13" ht="12.75">
      <c r="A510" s="101">
        <f>1</f>
        <v>1</v>
      </c>
      <c r="B510" s="101"/>
      <c r="C510" s="102" t="s">
        <v>122</v>
      </c>
      <c r="D510" s="24">
        <f>2.855</f>
        <v>2.855</v>
      </c>
      <c r="E510" s="104">
        <f>2.67</f>
        <v>2.67</v>
      </c>
      <c r="F510" s="105">
        <f t="shared" si="13"/>
        <v>7.62285</v>
      </c>
      <c r="G510" s="105"/>
      <c r="H510" s="105">
        <f>(D510*4+E510*3)</f>
        <v>19.43</v>
      </c>
      <c r="I510" s="105">
        <f t="shared" si="14"/>
        <v>7.62285</v>
      </c>
      <c r="L510" s="105">
        <f t="shared" si="15"/>
        <v>16.575</v>
      </c>
      <c r="M510" s="105">
        <f t="shared" si="16"/>
        <v>2.855</v>
      </c>
    </row>
    <row r="511" spans="1:13" ht="12.75">
      <c r="A511" s="101">
        <f>3</f>
        <v>3</v>
      </c>
      <c r="B511" s="101"/>
      <c r="C511" s="102" t="s">
        <v>123</v>
      </c>
      <c r="D511" s="24">
        <f>2.1</f>
        <v>2.1</v>
      </c>
      <c r="E511" s="104">
        <f>2.27</f>
        <v>2.27</v>
      </c>
      <c r="F511" s="105">
        <f t="shared" si="13"/>
        <v>4.767</v>
      </c>
      <c r="G511" s="105"/>
      <c r="H511" s="105">
        <f>(D511*3+E511*3)</f>
        <v>13.110000000000001</v>
      </c>
      <c r="I511" s="105">
        <f t="shared" si="14"/>
        <v>14.301000000000002</v>
      </c>
      <c r="L511" s="105">
        <f t="shared" si="15"/>
        <v>33.03</v>
      </c>
      <c r="M511" s="105">
        <f t="shared" si="16"/>
        <v>6.300000000000001</v>
      </c>
    </row>
    <row r="512" spans="1:13" ht="12.75">
      <c r="A512" s="101">
        <f>3</f>
        <v>3</v>
      </c>
      <c r="B512" s="101"/>
      <c r="C512" s="102" t="s">
        <v>124</v>
      </c>
      <c r="D512" s="24">
        <f>2.01</f>
        <v>2.01</v>
      </c>
      <c r="E512" s="104">
        <f>2.27</f>
        <v>2.27</v>
      </c>
      <c r="F512" s="105">
        <f t="shared" si="13"/>
        <v>4.5626999999999995</v>
      </c>
      <c r="G512" s="105"/>
      <c r="H512" s="105">
        <f>(D512*3+E512*3)</f>
        <v>12.84</v>
      </c>
      <c r="I512" s="105">
        <f t="shared" si="14"/>
        <v>13.688099999999999</v>
      </c>
      <c r="L512" s="105">
        <f t="shared" si="15"/>
        <v>32.49</v>
      </c>
      <c r="M512" s="105">
        <f t="shared" si="16"/>
        <v>6.029999999999999</v>
      </c>
    </row>
    <row r="513" spans="1:13" ht="12.75">
      <c r="A513" s="101">
        <f>2</f>
        <v>2</v>
      </c>
      <c r="B513" s="101"/>
      <c r="C513" s="102" t="s">
        <v>125</v>
      </c>
      <c r="D513" s="24">
        <f>1.665</f>
        <v>1.665</v>
      </c>
      <c r="E513" s="104">
        <f>2.27</f>
        <v>2.27</v>
      </c>
      <c r="F513" s="105">
        <f t="shared" si="13"/>
        <v>3.77955</v>
      </c>
      <c r="G513" s="105"/>
      <c r="H513" s="105">
        <f>(D513*3+E513*3)</f>
        <v>11.805</v>
      </c>
      <c r="I513" s="105">
        <f t="shared" si="14"/>
        <v>7.5591</v>
      </c>
      <c r="L513" s="105">
        <f t="shared" si="15"/>
        <v>20.28</v>
      </c>
      <c r="M513" s="105">
        <f t="shared" si="16"/>
        <v>3.33</v>
      </c>
    </row>
    <row r="514" spans="1:13" ht="12.75">
      <c r="A514" s="101">
        <f>1</f>
        <v>1</v>
      </c>
      <c r="B514" s="101"/>
      <c r="C514" s="102" t="s">
        <v>126</v>
      </c>
      <c r="D514" s="24">
        <f>1</f>
        <v>1</v>
      </c>
      <c r="E514" s="104">
        <f>2.27</f>
        <v>2.27</v>
      </c>
      <c r="F514" s="105">
        <f t="shared" si="13"/>
        <v>2.27</v>
      </c>
      <c r="G514" s="105"/>
      <c r="H514" s="105">
        <f>(D514*3+E514*2)</f>
        <v>7.54</v>
      </c>
      <c r="I514" s="105">
        <f t="shared" si="14"/>
        <v>2.27</v>
      </c>
      <c r="L514" s="105">
        <f t="shared" si="15"/>
        <v>6.54</v>
      </c>
      <c r="M514" s="105">
        <f t="shared" si="16"/>
        <v>1</v>
      </c>
    </row>
    <row r="523" spans="1:16" ht="12.75">
      <c r="A523" s="115"/>
      <c r="B523" s="115"/>
      <c r="C523" s="116" t="s">
        <v>127</v>
      </c>
      <c r="D523" s="25" t="s">
        <v>128</v>
      </c>
      <c r="E523" s="93">
        <f>48</f>
        <v>48</v>
      </c>
      <c r="H523" s="117"/>
      <c r="J523" s="118"/>
      <c r="K523" s="118"/>
      <c r="L523" s="92">
        <f>120</f>
        <v>120</v>
      </c>
      <c r="M523" s="119" t="str">
        <f>IF(F523&gt;0,+F523*E523,CHAR(32))</f>
        <v> </v>
      </c>
      <c r="N523" s="92">
        <f>IF(E523&gt;0,+E523*I523,CHAR(32))</f>
        <v>0</v>
      </c>
      <c r="O523" s="92"/>
      <c r="P523" s="92">
        <f>IF(L523&gt;0,+L523*E523,CHAR(32))</f>
        <v>5760</v>
      </c>
    </row>
    <row r="524" spans="1:16" ht="12.75">
      <c r="A524" s="90"/>
      <c r="B524" s="90"/>
      <c r="C524" s="120" t="s">
        <v>129</v>
      </c>
      <c r="D524" s="25" t="s">
        <v>130</v>
      </c>
      <c r="E524" s="93">
        <f>2</f>
        <v>2</v>
      </c>
      <c r="H524" s="121" t="e">
        <f>IF(I524&gt;0,+I524/#REF!,CHAR(32))</f>
        <v>#REF!</v>
      </c>
      <c r="I524" s="96">
        <f>1200/1.18</f>
        <v>1016.949152542373</v>
      </c>
      <c r="J524" s="117" t="e">
        <f>IF(H524&gt;0,+H524*E524,CHAR(32))</f>
        <v>#REF!</v>
      </c>
      <c r="K524" s="117"/>
      <c r="L524" s="122"/>
      <c r="M524" s="122"/>
      <c r="N524" s="92">
        <f>IF(E524&gt;0,+E524*I524,CHAR(32))</f>
        <v>2033.898305084746</v>
      </c>
      <c r="O524" s="92"/>
      <c r="P524" s="92" t="str">
        <f>IF(L524&gt;0,+L524*E524,CHAR(32))</f>
        <v> </v>
      </c>
    </row>
    <row r="526" ht="12.75">
      <c r="C526" s="93" t="s">
        <v>131</v>
      </c>
    </row>
    <row r="527" spans="3:15" ht="12.75">
      <c r="C527" s="124" t="s">
        <v>132</v>
      </c>
      <c r="G527" s="92"/>
      <c r="I527" s="52"/>
      <c r="M527" s="92"/>
      <c r="N527" s="92"/>
      <c r="O527" s="92"/>
    </row>
    <row r="528" spans="1:15" ht="12.75">
      <c r="A528" s="93" t="s">
        <v>133</v>
      </c>
      <c r="C528" s="93" t="s">
        <v>134</v>
      </c>
      <c r="D528" s="125">
        <f>3</f>
        <v>3</v>
      </c>
      <c r="E528" s="94">
        <f>3</f>
        <v>3</v>
      </c>
      <c r="F528" s="92">
        <f>8.1</f>
        <v>8.1</v>
      </c>
      <c r="G528" s="96">
        <f aca="true" t="shared" si="17" ref="G528:G541">2*(D528+E528)</f>
        <v>12</v>
      </c>
      <c r="H528" s="96" t="e">
        <f>G528*#REF!</f>
        <v>#REF!</v>
      </c>
      <c r="I528" s="96" t="e">
        <f>(E528+D528+E528)*#REF!</f>
        <v>#REF!</v>
      </c>
      <c r="J528" s="126" t="e">
        <f>H528-I528</f>
        <v>#REF!</v>
      </c>
      <c r="L528" s="92"/>
      <c r="M528" s="92" t="e">
        <f aca="true" t="shared" si="18" ref="M528:M541">H528-(I528+J528+K528+L528)</f>
        <v>#REF!</v>
      </c>
      <c r="O528" s="92"/>
    </row>
    <row r="529" spans="1:13" ht="12.75">
      <c r="A529" s="93" t="s">
        <v>135</v>
      </c>
      <c r="C529" s="93" t="s">
        <v>136</v>
      </c>
      <c r="D529" s="125">
        <f>14</f>
        <v>14</v>
      </c>
      <c r="E529" s="94">
        <f>11</f>
        <v>11</v>
      </c>
      <c r="F529" s="92">
        <f>104.7</f>
        <v>104.7</v>
      </c>
      <c r="G529" s="96">
        <f t="shared" si="17"/>
        <v>50</v>
      </c>
      <c r="H529" s="96" t="e">
        <f>G529*#REF!</f>
        <v>#REF!</v>
      </c>
      <c r="I529" s="96" t="e">
        <f>(2.5+2.5)*#REF!</f>
        <v>#REF!</v>
      </c>
      <c r="J529" s="126" t="e">
        <f>H529-I529</f>
        <v>#REF!</v>
      </c>
      <c r="M529" s="92" t="e">
        <f t="shared" si="18"/>
        <v>#REF!</v>
      </c>
    </row>
    <row r="530" spans="1:13" ht="12.75">
      <c r="A530" s="93" t="s">
        <v>137</v>
      </c>
      <c r="C530" s="127" t="s">
        <v>138</v>
      </c>
      <c r="D530" s="128">
        <f>2.85</f>
        <v>2.85</v>
      </c>
      <c r="E530" s="129">
        <f>2.4</f>
        <v>2.4</v>
      </c>
      <c r="F530" s="130">
        <f>6.85</f>
        <v>6.85</v>
      </c>
      <c r="G530" s="99">
        <f t="shared" si="17"/>
        <v>10.5</v>
      </c>
      <c r="H530" s="128">
        <f>G530*8.4</f>
        <v>88.2</v>
      </c>
      <c r="I530" s="128">
        <f>D530*8.4</f>
        <v>23.94</v>
      </c>
      <c r="J530" s="128">
        <f>H530-I530</f>
        <v>64.26</v>
      </c>
      <c r="M530" s="92">
        <f t="shared" si="18"/>
        <v>0</v>
      </c>
    </row>
    <row r="531" spans="1:15" ht="12.75">
      <c r="A531" s="93" t="s">
        <v>139</v>
      </c>
      <c r="C531" s="93" t="s">
        <v>140</v>
      </c>
      <c r="D531" s="96">
        <f>4.2</f>
        <v>4.2</v>
      </c>
      <c r="E531" s="94">
        <f>3.45</f>
        <v>3.45</v>
      </c>
      <c r="F531" s="92">
        <f>14.5</f>
        <v>14.5</v>
      </c>
      <c r="G531" s="96">
        <f t="shared" si="17"/>
        <v>15.3</v>
      </c>
      <c r="H531" s="96" t="e">
        <f>G531*#REF!</f>
        <v>#REF!</v>
      </c>
      <c r="I531" s="96" t="e">
        <f>(E531)*#REF!</f>
        <v>#REF!</v>
      </c>
      <c r="J531" s="96" t="e">
        <f>(D531+E531)*#REF!</f>
        <v>#REF!</v>
      </c>
      <c r="K531" s="131" t="e">
        <f>H531-(I531+J531)</f>
        <v>#REF!</v>
      </c>
      <c r="L531" s="92"/>
      <c r="M531" s="92" t="e">
        <f t="shared" si="18"/>
        <v>#REF!</v>
      </c>
      <c r="O531" s="92"/>
    </row>
    <row r="532" spans="1:15" ht="12.75">
      <c r="A532" s="93" t="s">
        <v>141</v>
      </c>
      <c r="C532" s="93" t="s">
        <v>142</v>
      </c>
      <c r="D532" s="96">
        <f>F532/E532</f>
        <v>10.555555555555555</v>
      </c>
      <c r="E532" s="94">
        <f>1.8</f>
        <v>1.8</v>
      </c>
      <c r="F532" s="92">
        <f>19</f>
        <v>19</v>
      </c>
      <c r="G532" s="96">
        <f t="shared" si="17"/>
        <v>24.711111111111112</v>
      </c>
      <c r="H532" s="96" t="e">
        <f>G532*#REF!</f>
        <v>#REF!</v>
      </c>
      <c r="J532" s="96" t="e">
        <f>H532-I532</f>
        <v>#REF!</v>
      </c>
      <c r="L532" s="132"/>
      <c r="M532" s="92" t="e">
        <f t="shared" si="18"/>
        <v>#REF!</v>
      </c>
      <c r="O532" s="92"/>
    </row>
    <row r="533" spans="1:15" ht="12.75">
      <c r="A533" s="93" t="s">
        <v>143</v>
      </c>
      <c r="C533" s="93" t="s">
        <v>142</v>
      </c>
      <c r="D533" s="96">
        <f>F533/E533</f>
        <v>17</v>
      </c>
      <c r="E533" s="94">
        <f>1.8</f>
        <v>1.8</v>
      </c>
      <c r="F533" s="92">
        <f>30.6</f>
        <v>30.6</v>
      </c>
      <c r="G533" s="96">
        <f t="shared" si="17"/>
        <v>37.6</v>
      </c>
      <c r="H533" s="96" t="e">
        <f>G533*#REF!</f>
        <v>#REF!</v>
      </c>
      <c r="J533" s="96" t="e">
        <f>H533-I533</f>
        <v>#REF!</v>
      </c>
      <c r="L533" s="132"/>
      <c r="M533" s="92" t="e">
        <f t="shared" si="18"/>
        <v>#REF!</v>
      </c>
      <c r="O533" s="92"/>
    </row>
    <row r="534" spans="1:15" ht="12.75">
      <c r="A534" s="93" t="s">
        <v>144</v>
      </c>
      <c r="C534" s="93" t="s">
        <v>134</v>
      </c>
      <c r="D534" s="96">
        <f>2</f>
        <v>2</v>
      </c>
      <c r="E534" s="94">
        <f>1.25</f>
        <v>1.25</v>
      </c>
      <c r="F534" s="92">
        <f>2.45</f>
        <v>2.45</v>
      </c>
      <c r="G534" s="96">
        <f t="shared" si="17"/>
        <v>6.5</v>
      </c>
      <c r="H534" s="96" t="e">
        <f>G534*#REF!</f>
        <v>#REF!</v>
      </c>
      <c r="I534" s="96" t="e">
        <f>(D534+E534)*#REF!</f>
        <v>#REF!</v>
      </c>
      <c r="J534" s="96" t="e">
        <f>H534-I534</f>
        <v>#REF!</v>
      </c>
      <c r="L534" s="132"/>
      <c r="M534" s="92" t="e">
        <f t="shared" si="18"/>
        <v>#REF!</v>
      </c>
      <c r="O534" s="92"/>
    </row>
    <row r="535" spans="1:15" ht="12.75">
      <c r="A535" s="93" t="s">
        <v>145</v>
      </c>
      <c r="C535" s="133" t="s">
        <v>146</v>
      </c>
      <c r="D535" s="134">
        <f>1.4</f>
        <v>1.4</v>
      </c>
      <c r="E535" s="135">
        <f>1.3</f>
        <v>1.3</v>
      </c>
      <c r="F535" s="92">
        <f>1.8</f>
        <v>1.8</v>
      </c>
      <c r="G535" s="96">
        <f t="shared" si="17"/>
        <v>5.4</v>
      </c>
      <c r="H535" s="134" t="e">
        <f>G535*#REF!</f>
        <v>#REF!</v>
      </c>
      <c r="I535" s="134"/>
      <c r="J535" s="134" t="e">
        <f>H535-I535</f>
        <v>#REF!</v>
      </c>
      <c r="L535" s="134" t="e">
        <f>H535-(I535+J535)</f>
        <v>#REF!</v>
      </c>
      <c r="M535" s="92" t="e">
        <f t="shared" si="18"/>
        <v>#REF!</v>
      </c>
      <c r="O535" s="92"/>
    </row>
    <row r="536" spans="1:13" ht="12.75">
      <c r="A536" s="93" t="s">
        <v>147</v>
      </c>
      <c r="C536" s="133" t="s">
        <v>148</v>
      </c>
      <c r="D536" s="134">
        <f>1.4</f>
        <v>1.4</v>
      </c>
      <c r="E536" s="135">
        <f>1.35</f>
        <v>1.35</v>
      </c>
      <c r="F536" s="92">
        <f>1.9</f>
        <v>1.9</v>
      </c>
      <c r="G536" s="96">
        <f t="shared" si="17"/>
        <v>5.5</v>
      </c>
      <c r="H536" s="134" t="e">
        <f>G536*#REF!</f>
        <v>#REF!</v>
      </c>
      <c r="I536" s="134"/>
      <c r="J536" s="134" t="e">
        <f>D536*#REF!</f>
        <v>#REF!</v>
      </c>
      <c r="L536" s="134" t="e">
        <f>H536-(I536+J536)</f>
        <v>#REF!</v>
      </c>
      <c r="M536" s="92" t="e">
        <f t="shared" si="18"/>
        <v>#REF!</v>
      </c>
    </row>
    <row r="537" spans="1:13" ht="12.75">
      <c r="A537" s="93" t="s">
        <v>149</v>
      </c>
      <c r="C537" s="93" t="s">
        <v>142</v>
      </c>
      <c r="D537" s="52">
        <f>F537/E537</f>
        <v>15.65</v>
      </c>
      <c r="E537" s="96">
        <f>2</f>
        <v>2</v>
      </c>
      <c r="F537" s="52">
        <f>31.3</f>
        <v>31.3</v>
      </c>
      <c r="G537" s="52">
        <f t="shared" si="17"/>
        <v>35.3</v>
      </c>
      <c r="H537" s="96" t="e">
        <f>G537*#REF!</f>
        <v>#REF!</v>
      </c>
      <c r="I537" s="52"/>
      <c r="J537" s="96" t="e">
        <f>H537-I537</f>
        <v>#REF!</v>
      </c>
      <c r="M537" s="92" t="e">
        <f t="shared" si="18"/>
        <v>#REF!</v>
      </c>
    </row>
    <row r="538" spans="1:15" ht="12.75">
      <c r="A538" s="93" t="s">
        <v>150</v>
      </c>
      <c r="C538" s="93" t="s">
        <v>142</v>
      </c>
      <c r="D538" s="96">
        <f>F538/E538</f>
        <v>15.839285714285715</v>
      </c>
      <c r="E538" s="96">
        <f>2.8</f>
        <v>2.8</v>
      </c>
      <c r="F538" s="96">
        <f>44.35</f>
        <v>44.35</v>
      </c>
      <c r="G538" s="52">
        <f t="shared" si="17"/>
        <v>37.27857142857143</v>
      </c>
      <c r="H538" s="52" t="e">
        <f>G538*#REF!</f>
        <v>#REF!</v>
      </c>
      <c r="I538" s="52"/>
      <c r="J538" s="52" t="e">
        <f>H538-I538</f>
        <v>#REF!</v>
      </c>
      <c r="M538" s="92" t="e">
        <f t="shared" si="18"/>
        <v>#REF!</v>
      </c>
      <c r="O538" s="92"/>
    </row>
    <row r="539" spans="1:13" ht="12.75">
      <c r="A539" s="93" t="s">
        <v>151</v>
      </c>
      <c r="C539" s="93" t="s">
        <v>152</v>
      </c>
      <c r="D539" s="96">
        <f>6.35</f>
        <v>6.35</v>
      </c>
      <c r="E539" s="96">
        <f>2.5</f>
        <v>2.5</v>
      </c>
      <c r="F539" s="96">
        <f>14.9</f>
        <v>14.9</v>
      </c>
      <c r="G539" s="52">
        <f t="shared" si="17"/>
        <v>17.7</v>
      </c>
      <c r="H539" s="52" t="e">
        <f>G539*#REF!</f>
        <v>#REF!</v>
      </c>
      <c r="I539" s="52" t="e">
        <f>(D539+E539)*#REF!</f>
        <v>#REF!</v>
      </c>
      <c r="J539" s="52" t="e">
        <f>H539-I539</f>
        <v>#REF!</v>
      </c>
      <c r="M539" s="92" t="e">
        <f t="shared" si="18"/>
        <v>#REF!</v>
      </c>
    </row>
    <row r="540" spans="1:13" ht="12.75">
      <c r="A540" s="93" t="s">
        <v>153</v>
      </c>
      <c r="C540" s="93" t="s">
        <v>134</v>
      </c>
      <c r="D540" s="96">
        <f>2</f>
        <v>2</v>
      </c>
      <c r="E540" s="94">
        <f>1.35</f>
        <v>1.35</v>
      </c>
      <c r="F540" s="92">
        <f>2.25</f>
        <v>2.25</v>
      </c>
      <c r="G540" s="96">
        <f t="shared" si="17"/>
        <v>6.7</v>
      </c>
      <c r="H540" s="96" t="e">
        <f>G540*#REF!</f>
        <v>#REF!</v>
      </c>
      <c r="I540" s="96" t="e">
        <f>(D540+E540)*#REF!</f>
        <v>#REF!</v>
      </c>
      <c r="J540" s="96" t="e">
        <f>H540-I540</f>
        <v>#REF!</v>
      </c>
      <c r="L540" s="132"/>
      <c r="M540" s="92" t="e">
        <f t="shared" si="18"/>
        <v>#REF!</v>
      </c>
    </row>
    <row r="541" spans="1:13" ht="12.75">
      <c r="A541" s="93" t="s">
        <v>154</v>
      </c>
      <c r="C541" s="93" t="s">
        <v>134</v>
      </c>
      <c r="D541" s="96">
        <f>1.5</f>
        <v>1.5</v>
      </c>
      <c r="E541" s="94">
        <f>1.125</f>
        <v>1.125</v>
      </c>
      <c r="F541" s="92">
        <f>1.3</f>
        <v>1.3</v>
      </c>
      <c r="G541" s="52">
        <f t="shared" si="17"/>
        <v>5.25</v>
      </c>
      <c r="H541" s="52" t="e">
        <f>G541*#REF!</f>
        <v>#REF!</v>
      </c>
      <c r="I541" s="96" t="e">
        <f>(D541+E541)*#REF!</f>
        <v>#REF!</v>
      </c>
      <c r="J541" s="52" t="e">
        <f>H541-I541</f>
        <v>#REF!</v>
      </c>
      <c r="L541" s="132"/>
      <c r="M541" s="92" t="e">
        <f t="shared" si="18"/>
        <v>#REF!</v>
      </c>
    </row>
    <row r="542" spans="3:13" ht="12.75">
      <c r="C542" s="93"/>
      <c r="D542" s="96"/>
      <c r="E542" s="94"/>
      <c r="F542" s="92"/>
      <c r="H542" s="52"/>
      <c r="L542" s="132"/>
      <c r="M542" s="92"/>
    </row>
    <row r="543" spans="3:13" ht="12.75">
      <c r="C543" s="93"/>
      <c r="D543" s="96"/>
      <c r="E543" s="94"/>
      <c r="H543" s="52"/>
      <c r="L543" s="132"/>
      <c r="M543" s="92"/>
    </row>
    <row r="544" spans="3:13" ht="12.75">
      <c r="C544" s="93"/>
      <c r="D544" s="96"/>
      <c r="E544" s="94"/>
      <c r="F544" s="92"/>
      <c r="H544" s="52"/>
      <c r="L544" s="132"/>
      <c r="M544" s="92"/>
    </row>
    <row r="545" spans="1:13" ht="12.75">
      <c r="A545" s="52"/>
      <c r="B545" s="52"/>
      <c r="C545" s="124" t="s">
        <v>155</v>
      </c>
      <c r="D545" s="96"/>
      <c r="E545" s="136"/>
      <c r="F545" s="92"/>
      <c r="H545" s="52"/>
      <c r="I545" s="52"/>
      <c r="L545" s="132"/>
      <c r="M545" s="92">
        <f aca="true" t="shared" si="19" ref="M545:M550">H545-(I545+J545+K545+L545)</f>
        <v>0</v>
      </c>
    </row>
    <row r="546" spans="1:15" ht="12.75">
      <c r="A546" s="93" t="s">
        <v>156</v>
      </c>
      <c r="C546" s="93" t="s">
        <v>157</v>
      </c>
      <c r="D546" s="96">
        <f>4</f>
        <v>4</v>
      </c>
      <c r="E546" s="52">
        <f>2.875</f>
        <v>2.875</v>
      </c>
      <c r="F546" s="96">
        <f>11.3</f>
        <v>11.3</v>
      </c>
      <c r="G546" s="52">
        <f>2*(D546+E546)</f>
        <v>13.75</v>
      </c>
      <c r="H546" s="52" t="e">
        <f>G546*#REF!</f>
        <v>#REF!</v>
      </c>
      <c r="I546" s="96" t="e">
        <f>(E546)*#REF!</f>
        <v>#REF!</v>
      </c>
      <c r="J546" s="96" t="e">
        <f>(D546+E546)*#REF!</f>
        <v>#REF!</v>
      </c>
      <c r="K546" s="131" t="e">
        <f>H546-(I546+J546)</f>
        <v>#REF!</v>
      </c>
      <c r="M546" s="92" t="e">
        <f t="shared" si="19"/>
        <v>#REF!</v>
      </c>
      <c r="O546" s="92"/>
    </row>
    <row r="547" spans="1:15" ht="12.75">
      <c r="A547" s="93" t="s">
        <v>158</v>
      </c>
      <c r="C547" s="93" t="s">
        <v>159</v>
      </c>
      <c r="D547" s="96">
        <f>4</f>
        <v>4</v>
      </c>
      <c r="E547" s="96">
        <f>3</f>
        <v>3</v>
      </c>
      <c r="F547" s="96">
        <f>12</f>
        <v>12</v>
      </c>
      <c r="G547" s="52">
        <f>2*(D547+E547)</f>
        <v>14</v>
      </c>
      <c r="H547" s="52" t="e">
        <f>G547*#REF!</f>
        <v>#REF!</v>
      </c>
      <c r="I547" s="96" t="e">
        <f>(E547)*#REF!</f>
        <v>#REF!</v>
      </c>
      <c r="J547" s="96" t="e">
        <f>(D547+E547)*#REF!</f>
        <v>#REF!</v>
      </c>
      <c r="K547" s="131" t="e">
        <f>H547-(I547+J547)</f>
        <v>#REF!</v>
      </c>
      <c r="M547" s="92" t="e">
        <f t="shared" si="19"/>
        <v>#REF!</v>
      </c>
      <c r="O547" s="92"/>
    </row>
    <row r="548" spans="1:15" ht="12.75">
      <c r="A548" s="93" t="s">
        <v>160</v>
      </c>
      <c r="C548" s="93" t="s">
        <v>161</v>
      </c>
      <c r="D548" s="96">
        <f>5</f>
        <v>5</v>
      </c>
      <c r="E548" s="96">
        <f>4.8</f>
        <v>4.8</v>
      </c>
      <c r="F548" s="96">
        <f>22.5</f>
        <v>22.5</v>
      </c>
      <c r="G548" s="96">
        <f>2*(D548+E548)</f>
        <v>19.6</v>
      </c>
      <c r="H548" s="52" t="e">
        <f>G548*#REF!</f>
        <v>#REF!</v>
      </c>
      <c r="I548" s="96" t="e">
        <f>(D548+E548)*#REF!</f>
        <v>#REF!</v>
      </c>
      <c r="J548" s="96" t="e">
        <f>(D548+E548)*#REF!</f>
        <v>#REF!</v>
      </c>
      <c r="K548" s="131" t="e">
        <f>H548-(I548+J548)</f>
        <v>#REF!</v>
      </c>
      <c r="M548" s="92" t="e">
        <f t="shared" si="19"/>
        <v>#REF!</v>
      </c>
      <c r="O548" s="92"/>
    </row>
    <row r="549" spans="1:15" ht="12.75">
      <c r="A549" s="93" t="s">
        <v>162</v>
      </c>
      <c r="C549" s="93" t="s">
        <v>163</v>
      </c>
      <c r="D549" s="96">
        <f>4.8</f>
        <v>4.8</v>
      </c>
      <c r="E549" s="96">
        <f>2.425</f>
        <v>2.425</v>
      </c>
      <c r="F549" s="96">
        <f>10.6</f>
        <v>10.6</v>
      </c>
      <c r="G549" s="52">
        <f>2*(D549+E549)</f>
        <v>14.45</v>
      </c>
      <c r="H549" s="52" t="e">
        <f>G549*#REF!</f>
        <v>#REF!</v>
      </c>
      <c r="I549" s="52"/>
      <c r="J549" s="96" t="e">
        <f>H549-I549</f>
        <v>#REF!</v>
      </c>
      <c r="M549" s="92" t="e">
        <f t="shared" si="19"/>
        <v>#REF!</v>
      </c>
      <c r="O549" s="92"/>
    </row>
    <row r="550" spans="1:13" ht="12.75">
      <c r="A550" s="93" t="s">
        <v>164</v>
      </c>
      <c r="C550" s="93" t="s">
        <v>165</v>
      </c>
      <c r="D550" s="96">
        <f>7.55</f>
        <v>7.55</v>
      </c>
      <c r="E550" s="96">
        <f>4.8</f>
        <v>4.8</v>
      </c>
      <c r="F550" s="96">
        <f>34</f>
        <v>34</v>
      </c>
      <c r="G550" s="96">
        <f>2*(D550+E550)</f>
        <v>24.7</v>
      </c>
      <c r="H550" s="96" t="e">
        <f>G550*#REF!</f>
        <v>#REF!</v>
      </c>
      <c r="I550" s="96" t="e">
        <f>(E550)*#REF!</f>
        <v>#REF!</v>
      </c>
      <c r="J550" s="96" t="e">
        <f>H550-I550</f>
        <v>#REF!</v>
      </c>
      <c r="M550" s="92" t="e">
        <f t="shared" si="19"/>
        <v>#REF!</v>
      </c>
    </row>
    <row r="551" spans="3:13" ht="12.75">
      <c r="C551" s="93"/>
      <c r="D551" s="96"/>
      <c r="E551" s="96"/>
      <c r="F551" s="96"/>
      <c r="G551" s="96"/>
      <c r="J551" s="96"/>
      <c r="M551" s="92"/>
    </row>
    <row r="552" spans="3:13" ht="12.75">
      <c r="C552" s="93"/>
      <c r="D552" s="96"/>
      <c r="E552" s="96"/>
      <c r="F552" s="96"/>
      <c r="G552" s="96"/>
      <c r="J552" s="96"/>
      <c r="M552" s="92"/>
    </row>
    <row r="553" spans="3:13" ht="12.75">
      <c r="C553" s="93"/>
      <c r="D553" s="96"/>
      <c r="E553" s="96"/>
      <c r="J553" s="96"/>
      <c r="M553" s="92"/>
    </row>
    <row r="554" spans="3:13" ht="12.75">
      <c r="C554" s="93"/>
      <c r="D554" s="96"/>
      <c r="E554" s="96"/>
      <c r="F554" s="96"/>
      <c r="G554" s="96"/>
      <c r="J554" s="96"/>
      <c r="M554" s="92"/>
    </row>
    <row r="555" spans="1:13" ht="12.75">
      <c r="A555" s="52"/>
      <c r="B555" s="52"/>
      <c r="C555" s="124" t="s">
        <v>166</v>
      </c>
      <c r="D555" s="52"/>
      <c r="E555" s="96"/>
      <c r="G555" s="96"/>
      <c r="H555" s="52"/>
      <c r="I555" s="52"/>
      <c r="M555" s="92">
        <f>H555-(I555+J555+K555+L555)</f>
        <v>0</v>
      </c>
    </row>
    <row r="556" spans="1:15" ht="12.75">
      <c r="A556" s="93" t="s">
        <v>167</v>
      </c>
      <c r="C556" s="137" t="s">
        <v>168</v>
      </c>
      <c r="D556" s="132">
        <f>6.3</f>
        <v>6.3</v>
      </c>
      <c r="E556" s="132">
        <f>2.9</f>
        <v>2.9</v>
      </c>
      <c r="F556" s="96">
        <f>18.15</f>
        <v>18.15</v>
      </c>
      <c r="G556" s="52">
        <f aca="true" t="shared" si="20" ref="G556:G563">2*(D556+E556)</f>
        <v>18.4</v>
      </c>
      <c r="H556" s="138" t="e">
        <f>G556*#REF!</f>
        <v>#REF!</v>
      </c>
      <c r="I556" s="132" t="e">
        <f>(E556)*#REF!</f>
        <v>#REF!</v>
      </c>
      <c r="J556" s="132" t="e">
        <f>(D556+E556)*#REF!</f>
        <v>#REF!</v>
      </c>
      <c r="K556" s="132" t="e">
        <f>H556-(I556+J556)</f>
        <v>#REF!</v>
      </c>
      <c r="M556" s="92" t="e">
        <f>H556-(I556+J556+K556+L556)</f>
        <v>#REF!</v>
      </c>
      <c r="O556" s="92"/>
    </row>
    <row r="557" spans="1:13" ht="12.75">
      <c r="A557" s="93" t="s">
        <v>169</v>
      </c>
      <c r="C557" s="93" t="s">
        <v>170</v>
      </c>
      <c r="D557" s="96">
        <f>3.3</f>
        <v>3.3</v>
      </c>
      <c r="E557" s="94">
        <f>3</f>
        <v>3</v>
      </c>
      <c r="F557" s="92">
        <f>10</f>
        <v>10</v>
      </c>
      <c r="G557" s="96">
        <f t="shared" si="20"/>
        <v>12.6</v>
      </c>
      <c r="H557" s="96" t="e">
        <f>G557*#REF!</f>
        <v>#REF!</v>
      </c>
      <c r="I557" s="96" t="e">
        <f>(E557)*#REF!</f>
        <v>#REF!</v>
      </c>
      <c r="J557" s="96" t="e">
        <f>(D557)*#REF!</f>
        <v>#REF!</v>
      </c>
      <c r="K557" s="131" t="e">
        <f>H557-(I557+J557)</f>
        <v>#REF!</v>
      </c>
      <c r="M557" s="92" t="e">
        <f>H557-(I557+J557+K557+L557)</f>
        <v>#REF!</v>
      </c>
    </row>
    <row r="558" spans="1:15" ht="12.75">
      <c r="A558" s="93" t="s">
        <v>171</v>
      </c>
      <c r="C558" s="133" t="s">
        <v>148</v>
      </c>
      <c r="D558" s="134">
        <f>2.75</f>
        <v>2.75</v>
      </c>
      <c r="E558" s="139">
        <f>2.225</f>
        <v>2.225</v>
      </c>
      <c r="F558" s="92">
        <f>6.15</f>
        <v>6.15</v>
      </c>
      <c r="G558" s="96">
        <f t="shared" si="20"/>
        <v>9.95</v>
      </c>
      <c r="H558" s="134" t="e">
        <f>G558*#REF!</f>
        <v>#REF!</v>
      </c>
      <c r="I558" s="134"/>
      <c r="J558" s="134" t="e">
        <f>(E558+D558+E558)*#REF!</f>
        <v>#REF!</v>
      </c>
      <c r="L558" s="134" t="e">
        <f>H558-(I558+J558)</f>
        <v>#REF!</v>
      </c>
      <c r="M558" s="92" t="e">
        <f>H558-(I558+J558+K558+L558)</f>
        <v>#REF!</v>
      </c>
      <c r="O558" s="92"/>
    </row>
    <row r="559" spans="1:15" ht="12.75">
      <c r="A559" s="93" t="s">
        <v>172</v>
      </c>
      <c r="C559" s="133" t="s">
        <v>173</v>
      </c>
      <c r="D559" s="134">
        <f>4</f>
        <v>4</v>
      </c>
      <c r="E559" s="135">
        <f>2.75</f>
        <v>2.75</v>
      </c>
      <c r="F559" s="92">
        <f>11.9</f>
        <v>11.9</v>
      </c>
      <c r="G559" s="96">
        <f t="shared" si="20"/>
        <v>13.5</v>
      </c>
      <c r="H559" s="134" t="e">
        <f>G559*#REF!</f>
        <v>#REF!</v>
      </c>
      <c r="I559" s="134" t="e">
        <f>(E559)*#REF!</f>
        <v>#REF!</v>
      </c>
      <c r="J559" s="134" t="e">
        <f>(D559)*#REF!</f>
        <v>#REF!</v>
      </c>
      <c r="K559" s="131"/>
      <c r="L559" s="134" t="e">
        <f>H559-(I559+J559)</f>
        <v>#REF!</v>
      </c>
      <c r="M559" s="92"/>
      <c r="O559" s="92"/>
    </row>
    <row r="560" spans="1:13" ht="12.75">
      <c r="A560" s="93" t="s">
        <v>174</v>
      </c>
      <c r="C560" s="133" t="s">
        <v>175</v>
      </c>
      <c r="D560" s="134">
        <f>6.3</f>
        <v>6.3</v>
      </c>
      <c r="E560" s="134">
        <f>2.9</f>
        <v>2.9</v>
      </c>
      <c r="F560" s="92">
        <f>18.4</f>
        <v>18.4</v>
      </c>
      <c r="G560" s="96">
        <f t="shared" si="20"/>
        <v>18.4</v>
      </c>
      <c r="H560" s="134" t="e">
        <f>G560*#REF!</f>
        <v>#REF!</v>
      </c>
      <c r="I560" s="134" t="e">
        <f>(E560)*#REF!</f>
        <v>#REF!</v>
      </c>
      <c r="J560" s="134" t="e">
        <f>(D560+E560)*#REF!</f>
        <v>#REF!</v>
      </c>
      <c r="K560" s="131"/>
      <c r="L560" s="134" t="e">
        <f>H560-(I560+J560)</f>
        <v>#REF!</v>
      </c>
      <c r="M560" s="92"/>
    </row>
    <row r="561" spans="1:15" ht="12.75">
      <c r="A561" s="93" t="s">
        <v>176</v>
      </c>
      <c r="C561" s="93" t="s">
        <v>177</v>
      </c>
      <c r="D561" s="125">
        <f>6.3</f>
        <v>6.3</v>
      </c>
      <c r="E561" s="94">
        <f>3</f>
        <v>3</v>
      </c>
      <c r="F561" s="92">
        <f>13.4</f>
        <v>13.4</v>
      </c>
      <c r="G561" s="96">
        <f t="shared" si="20"/>
        <v>18.6</v>
      </c>
      <c r="H561" s="96" t="e">
        <f>G561*#REF!</f>
        <v>#REF!</v>
      </c>
      <c r="I561" s="96" t="e">
        <f>(E561)*#REF!</f>
        <v>#REF!</v>
      </c>
      <c r="J561" s="96" t="e">
        <f>(D561+E561)*#REF!</f>
        <v>#REF!</v>
      </c>
      <c r="K561" s="131" t="e">
        <f>H561-(I561+J561)</f>
        <v>#REF!</v>
      </c>
      <c r="L561" s="132"/>
      <c r="M561" s="92" t="e">
        <f>H561-(I561+J561+K561+L561)</f>
        <v>#REF!</v>
      </c>
      <c r="O561" s="92"/>
    </row>
    <row r="562" spans="1:15" ht="12.75">
      <c r="A562" s="93" t="s">
        <v>178</v>
      </c>
      <c r="C562" s="133" t="s">
        <v>179</v>
      </c>
      <c r="D562" s="134">
        <f>2.2</f>
        <v>2.2</v>
      </c>
      <c r="E562" s="135">
        <f>1.35</f>
        <v>1.35</v>
      </c>
      <c r="F562" s="92">
        <f>3</f>
        <v>3</v>
      </c>
      <c r="G562" s="96">
        <f t="shared" si="20"/>
        <v>7.1000000000000005</v>
      </c>
      <c r="H562" s="134" t="e">
        <f>G562*#REF!</f>
        <v>#REF!</v>
      </c>
      <c r="I562" s="134"/>
      <c r="J562" s="134" t="e">
        <f>(D562)*#REF!</f>
        <v>#REF!</v>
      </c>
      <c r="L562" s="134" t="e">
        <f>H562-(I562+J562)</f>
        <v>#REF!</v>
      </c>
      <c r="M562" s="92" t="e">
        <f>H562-(I562+J562+K562+L562)</f>
        <v>#REF!</v>
      </c>
      <c r="O562" s="134"/>
    </row>
    <row r="563" spans="1:15" ht="12.75">
      <c r="A563" s="93" t="s">
        <v>180</v>
      </c>
      <c r="C563" s="133" t="s">
        <v>181</v>
      </c>
      <c r="D563" s="134">
        <f>1.35</f>
        <v>1.35</v>
      </c>
      <c r="E563" s="135">
        <f>0.85</f>
        <v>0.85</v>
      </c>
      <c r="F563" s="92">
        <f>1.15</f>
        <v>1.15</v>
      </c>
      <c r="G563" s="52">
        <f t="shared" si="20"/>
        <v>4.4</v>
      </c>
      <c r="H563" s="134" t="e">
        <f>G563*#REF!</f>
        <v>#REF!</v>
      </c>
      <c r="I563" s="134"/>
      <c r="J563" s="134" t="e">
        <f>(E563)*#REF!</f>
        <v>#REF!</v>
      </c>
      <c r="L563" s="134" t="e">
        <f>H563-(I563+J563)</f>
        <v>#REF!</v>
      </c>
      <c r="M563" s="92" t="e">
        <f>H563-(I563+J563+K563+L563)</f>
        <v>#REF!</v>
      </c>
      <c r="O563" s="92"/>
    </row>
    <row r="564" spans="3:15" ht="12.75">
      <c r="C564" s="133"/>
      <c r="D564" s="134"/>
      <c r="E564" s="135"/>
      <c r="F564" s="92"/>
      <c r="H564" s="134"/>
      <c r="I564" s="134"/>
      <c r="J564" s="134"/>
      <c r="L564" s="134"/>
      <c r="M564" s="92"/>
      <c r="O564" s="92"/>
    </row>
    <row r="565" spans="1:15" ht="12.75">
      <c r="A565" s="52"/>
      <c r="B565" s="52"/>
      <c r="C565" s="124" t="s">
        <v>182</v>
      </c>
      <c r="D565" s="134"/>
      <c r="E565" s="135"/>
      <c r="F565" s="92"/>
      <c r="G565" s="96"/>
      <c r="H565" s="134"/>
      <c r="I565" s="52"/>
      <c r="J565" s="134"/>
      <c r="L565" s="134"/>
      <c r="M565" s="92">
        <f aca="true" t="shared" si="21" ref="M565:M592">H565-(I565+J565+K565+L565)</f>
        <v>0</v>
      </c>
      <c r="O565" s="134"/>
    </row>
    <row r="566" spans="1:13" ht="12.75">
      <c r="A566" s="93" t="s">
        <v>183</v>
      </c>
      <c r="C566" s="93" t="s">
        <v>184</v>
      </c>
      <c r="D566" s="125">
        <f>6.3</f>
        <v>6.3</v>
      </c>
      <c r="E566" s="94">
        <f>4.5</f>
        <v>4.5</v>
      </c>
      <c r="F566" s="92">
        <f>19.75</f>
        <v>19.75</v>
      </c>
      <c r="G566" s="96">
        <f aca="true" t="shared" si="22" ref="G566:G583">2*(D566+E566)</f>
        <v>21.6</v>
      </c>
      <c r="H566" s="96" t="e">
        <f>G566*#REF!</f>
        <v>#REF!</v>
      </c>
      <c r="I566" s="96" t="e">
        <f>(E566)*#REF!</f>
        <v>#REF!</v>
      </c>
      <c r="J566" s="96" t="e">
        <f>(D566+E566)*#REF!</f>
        <v>#REF!</v>
      </c>
      <c r="K566" s="131" t="e">
        <f>H566-(I566+J566)</f>
        <v>#REF!</v>
      </c>
      <c r="M566" s="92" t="e">
        <f t="shared" si="21"/>
        <v>#REF!</v>
      </c>
    </row>
    <row r="567" spans="1:13" ht="12.75">
      <c r="A567" s="93" t="s">
        <v>185</v>
      </c>
      <c r="C567" s="133" t="s">
        <v>186</v>
      </c>
      <c r="D567" s="134">
        <f>F567/E567</f>
        <v>2.9999999999999996</v>
      </c>
      <c r="E567" s="134">
        <f>2.7</f>
        <v>2.7</v>
      </c>
      <c r="F567" s="96">
        <f>8.1</f>
        <v>8.1</v>
      </c>
      <c r="G567" s="52">
        <f t="shared" si="22"/>
        <v>11.399999999999999</v>
      </c>
      <c r="H567" s="134" t="e">
        <f>G567*#REF!</f>
        <v>#REF!</v>
      </c>
      <c r="I567" s="134"/>
      <c r="J567" s="134" t="e">
        <f>(E567+D567)*#REF!</f>
        <v>#REF!</v>
      </c>
      <c r="L567" s="134" t="e">
        <f>H567-(I567+J567)</f>
        <v>#REF!</v>
      </c>
      <c r="M567" s="92" t="e">
        <f t="shared" si="21"/>
        <v>#REF!</v>
      </c>
    </row>
    <row r="568" spans="1:15" ht="12.75">
      <c r="A568" s="93" t="s">
        <v>187</v>
      </c>
      <c r="C568" s="93" t="s">
        <v>188</v>
      </c>
      <c r="D568" s="125">
        <f>2.7</f>
        <v>2.7</v>
      </c>
      <c r="E568" s="94">
        <f>2.5</f>
        <v>2.5</v>
      </c>
      <c r="F568" s="92">
        <f>6.75</f>
        <v>6.75</v>
      </c>
      <c r="G568" s="96">
        <f t="shared" si="22"/>
        <v>10.4</v>
      </c>
      <c r="H568" s="96" t="e">
        <f>G568*#REF!</f>
        <v>#REF!</v>
      </c>
      <c r="J568" s="96" t="e">
        <f>(D568+E568)*#REF!</f>
        <v>#REF!</v>
      </c>
      <c r="K568" s="131" t="e">
        <f>H568-(I568+J568)</f>
        <v>#REF!</v>
      </c>
      <c r="L568" s="92"/>
      <c r="M568" s="92" t="e">
        <f t="shared" si="21"/>
        <v>#REF!</v>
      </c>
      <c r="O568" s="92"/>
    </row>
    <row r="569" spans="1:15" ht="12.75">
      <c r="A569" s="93" t="s">
        <v>189</v>
      </c>
      <c r="C569" s="93" t="s">
        <v>190</v>
      </c>
      <c r="D569" s="125">
        <f>6.3</f>
        <v>6.3</v>
      </c>
      <c r="E569" s="94">
        <f>4.5</f>
        <v>4.5</v>
      </c>
      <c r="F569" s="92">
        <f>21.6</f>
        <v>21.6</v>
      </c>
      <c r="G569" s="96">
        <f t="shared" si="22"/>
        <v>21.6</v>
      </c>
      <c r="H569" s="96" t="e">
        <f>G569*#REF!</f>
        <v>#REF!</v>
      </c>
      <c r="I569" s="96" t="e">
        <f>(E569)*#REF!</f>
        <v>#REF!</v>
      </c>
      <c r="J569" s="96" t="e">
        <f>(D569+E569)*#REF!</f>
        <v>#REF!</v>
      </c>
      <c r="K569" s="131" t="e">
        <f>H569-(I569+J569)</f>
        <v>#REF!</v>
      </c>
      <c r="L569" s="92"/>
      <c r="M569" s="92" t="e">
        <f t="shared" si="21"/>
        <v>#REF!</v>
      </c>
      <c r="O569" s="92"/>
    </row>
    <row r="570" spans="1:15" ht="12.75">
      <c r="A570" s="93" t="s">
        <v>191</v>
      </c>
      <c r="C570" s="93" t="s">
        <v>192</v>
      </c>
      <c r="D570" s="125">
        <f>4.5</f>
        <v>4.5</v>
      </c>
      <c r="E570" s="94">
        <f>2.7</f>
        <v>2.7</v>
      </c>
      <c r="F570" s="92">
        <f>12.15</f>
        <v>12.15</v>
      </c>
      <c r="G570" s="96">
        <f t="shared" si="22"/>
        <v>14.4</v>
      </c>
      <c r="H570" s="96" t="e">
        <f>G570*#REF!</f>
        <v>#REF!</v>
      </c>
      <c r="I570" s="96" t="e">
        <f>(D570)*#REF!</f>
        <v>#REF!</v>
      </c>
      <c r="J570" s="96" t="e">
        <f>(E570+E570)*#REF!</f>
        <v>#REF!</v>
      </c>
      <c r="K570" s="131" t="e">
        <f>H570-(I570+J570)</f>
        <v>#REF!</v>
      </c>
      <c r="L570" s="92"/>
      <c r="M570" s="92" t="e">
        <f t="shared" si="21"/>
        <v>#REF!</v>
      </c>
      <c r="O570" s="92"/>
    </row>
    <row r="571" spans="1:15" ht="12.75">
      <c r="A571" s="93" t="s">
        <v>193</v>
      </c>
      <c r="C571" s="93" t="s">
        <v>194</v>
      </c>
      <c r="D571" s="125">
        <f>3.5</f>
        <v>3.5</v>
      </c>
      <c r="E571" s="94">
        <f>1.8</f>
        <v>1.8</v>
      </c>
      <c r="F571" s="92">
        <f>5.9</f>
        <v>5.9</v>
      </c>
      <c r="G571" s="96">
        <f t="shared" si="22"/>
        <v>10.6</v>
      </c>
      <c r="H571" s="96" t="e">
        <f>G571*#REF!</f>
        <v>#REF!</v>
      </c>
      <c r="J571" s="96"/>
      <c r="K571" s="131" t="e">
        <f>H571-(I571+J571)</f>
        <v>#REF!</v>
      </c>
      <c r="L571" s="92"/>
      <c r="M571" s="92" t="e">
        <f t="shared" si="21"/>
        <v>#REF!</v>
      </c>
      <c r="O571" s="92"/>
    </row>
    <row r="572" spans="1:15" ht="12.75">
      <c r="A572" s="93" t="s">
        <v>195</v>
      </c>
      <c r="C572" s="133" t="s">
        <v>196</v>
      </c>
      <c r="D572" s="134">
        <f>1.65</f>
        <v>1.65</v>
      </c>
      <c r="E572" s="135">
        <f>1.4</f>
        <v>1.4</v>
      </c>
      <c r="F572" s="92">
        <f>2.3</f>
        <v>2.3</v>
      </c>
      <c r="G572" s="96">
        <f t="shared" si="22"/>
        <v>6.1</v>
      </c>
      <c r="H572" s="134" t="e">
        <f>G572*#REF!</f>
        <v>#REF!</v>
      </c>
      <c r="I572" s="52"/>
      <c r="J572" s="134" t="e">
        <f>(D572)*#REF!</f>
        <v>#REF!</v>
      </c>
      <c r="L572" s="134" t="e">
        <f>H572-(I572+J572)</f>
        <v>#REF!</v>
      </c>
      <c r="M572" s="92" t="e">
        <f t="shared" si="21"/>
        <v>#REF!</v>
      </c>
      <c r="O572" s="134"/>
    </row>
    <row r="573" spans="1:15" ht="12.75">
      <c r="A573" s="93" t="s">
        <v>197</v>
      </c>
      <c r="C573" s="133" t="s">
        <v>148</v>
      </c>
      <c r="D573" s="134">
        <f>1.55</f>
        <v>1.55</v>
      </c>
      <c r="E573" s="135">
        <f>1.4</f>
        <v>1.4</v>
      </c>
      <c r="F573" s="92">
        <f>2.15</f>
        <v>2.15</v>
      </c>
      <c r="G573" s="96">
        <f t="shared" si="22"/>
        <v>5.9</v>
      </c>
      <c r="H573" s="134" t="e">
        <f>G573*#REF!</f>
        <v>#REF!</v>
      </c>
      <c r="I573" s="52"/>
      <c r="J573" s="134" t="e">
        <f>(E573)*#REF!</f>
        <v>#REF!</v>
      </c>
      <c r="L573" s="134" t="e">
        <f>H573-(I573+J573)</f>
        <v>#REF!</v>
      </c>
      <c r="M573" s="92" t="e">
        <f t="shared" si="21"/>
        <v>#REF!</v>
      </c>
      <c r="O573" s="134"/>
    </row>
    <row r="574" spans="1:15" ht="12.75">
      <c r="A574" s="93" t="s">
        <v>198</v>
      </c>
      <c r="C574" s="93" t="s">
        <v>199</v>
      </c>
      <c r="D574" s="125">
        <f>6.3</f>
        <v>6.3</v>
      </c>
      <c r="E574" s="94">
        <f>4.5</f>
        <v>4.5</v>
      </c>
      <c r="F574" s="92">
        <f>22</f>
        <v>22</v>
      </c>
      <c r="G574" s="96">
        <f t="shared" si="22"/>
        <v>21.6</v>
      </c>
      <c r="H574" s="96" t="e">
        <f>G574*#REF!</f>
        <v>#REF!</v>
      </c>
      <c r="I574" s="96" t="e">
        <f>(E574)*#REF!</f>
        <v>#REF!</v>
      </c>
      <c r="J574" s="96" t="e">
        <f>(D574+D574)*#REF!</f>
        <v>#REF!</v>
      </c>
      <c r="K574" s="131" t="e">
        <f>H574-(I574+J574)</f>
        <v>#REF!</v>
      </c>
      <c r="L574" s="92"/>
      <c r="M574" s="92" t="e">
        <f t="shared" si="21"/>
        <v>#REF!</v>
      </c>
      <c r="O574" s="92"/>
    </row>
    <row r="575" spans="1:15" ht="12.75">
      <c r="A575" s="93" t="s">
        <v>200</v>
      </c>
      <c r="C575" s="133" t="s">
        <v>196</v>
      </c>
      <c r="D575" s="134">
        <f>1.8</f>
        <v>1.8</v>
      </c>
      <c r="E575" s="135">
        <f>0.9</f>
        <v>0.9</v>
      </c>
      <c r="F575" s="92">
        <f>1.6</f>
        <v>1.6</v>
      </c>
      <c r="G575" s="96">
        <f t="shared" si="22"/>
        <v>5.4</v>
      </c>
      <c r="H575" s="134" t="e">
        <f>G575*#REF!</f>
        <v>#REF!</v>
      </c>
      <c r="I575" s="52"/>
      <c r="J575" s="134" t="e">
        <f>(E575)*#REF!</f>
        <v>#REF!</v>
      </c>
      <c r="L575" s="134" t="e">
        <f>H575-(I575+J575)</f>
        <v>#REF!</v>
      </c>
      <c r="M575" s="92" t="e">
        <f t="shared" si="21"/>
        <v>#REF!</v>
      </c>
      <c r="O575" s="134"/>
    </row>
    <row r="576" spans="1:15" ht="12.75">
      <c r="A576" s="93" t="s">
        <v>201</v>
      </c>
      <c r="C576" s="133" t="s">
        <v>196</v>
      </c>
      <c r="D576" s="134">
        <f>1.8</f>
        <v>1.8</v>
      </c>
      <c r="E576" s="135">
        <f>0.9</f>
        <v>0.9</v>
      </c>
      <c r="F576" s="92">
        <f>1.6</f>
        <v>1.6</v>
      </c>
      <c r="G576" s="96">
        <f t="shared" si="22"/>
        <v>5.4</v>
      </c>
      <c r="H576" s="134" t="e">
        <f>G576*#REF!</f>
        <v>#REF!</v>
      </c>
      <c r="I576" s="52"/>
      <c r="J576" s="134" t="e">
        <f>(E576)*#REF!</f>
        <v>#REF!</v>
      </c>
      <c r="L576" s="134" t="e">
        <f>H576-(I576+J576)</f>
        <v>#REF!</v>
      </c>
      <c r="M576" s="92" t="e">
        <f t="shared" si="21"/>
        <v>#REF!</v>
      </c>
      <c r="O576" s="134"/>
    </row>
    <row r="577" spans="1:15" ht="12.75">
      <c r="A577" s="93" t="s">
        <v>202</v>
      </c>
      <c r="C577" s="133" t="s">
        <v>148</v>
      </c>
      <c r="D577" s="134">
        <f>1.8</f>
        <v>1.8</v>
      </c>
      <c r="E577" s="135">
        <f>1.35</f>
        <v>1.35</v>
      </c>
      <c r="F577" s="92">
        <f>2.4</f>
        <v>2.4</v>
      </c>
      <c r="G577" s="96">
        <f t="shared" si="22"/>
        <v>6.300000000000001</v>
      </c>
      <c r="H577" s="134" t="e">
        <f>G577*#REF!</f>
        <v>#REF!</v>
      </c>
      <c r="I577" s="52"/>
      <c r="J577" s="134" t="e">
        <f>(E577)*#REF!</f>
        <v>#REF!</v>
      </c>
      <c r="L577" s="134" t="e">
        <f>H577-(I577+J577)</f>
        <v>#REF!</v>
      </c>
      <c r="M577" s="92" t="e">
        <f t="shared" si="21"/>
        <v>#REF!</v>
      </c>
      <c r="O577" s="134"/>
    </row>
    <row r="578" spans="1:15" ht="12.75">
      <c r="A578" s="93" t="s">
        <v>203</v>
      </c>
      <c r="C578" s="93" t="s">
        <v>204</v>
      </c>
      <c r="D578" s="125">
        <f>5.4</f>
        <v>5.4</v>
      </c>
      <c r="E578" s="94">
        <f>2.9</f>
        <v>2.9</v>
      </c>
      <c r="F578" s="92">
        <f>15.7</f>
        <v>15.7</v>
      </c>
      <c r="G578" s="96">
        <f t="shared" si="22"/>
        <v>16.6</v>
      </c>
      <c r="H578" s="96" t="e">
        <f>G578*#REF!</f>
        <v>#REF!</v>
      </c>
      <c r="I578" s="96" t="e">
        <f>(D578+E578)*#REF!</f>
        <v>#REF!</v>
      </c>
      <c r="J578" s="96"/>
      <c r="K578" s="131" t="e">
        <f aca="true" t="shared" si="23" ref="K578:K583">H578-(I578+J578)</f>
        <v>#REF!</v>
      </c>
      <c r="L578" s="92"/>
      <c r="M578" s="92" t="e">
        <f t="shared" si="21"/>
        <v>#REF!</v>
      </c>
      <c r="O578" s="92"/>
    </row>
    <row r="579" spans="1:15" ht="12.75">
      <c r="A579" s="93" t="s">
        <v>205</v>
      </c>
      <c r="C579" s="93" t="s">
        <v>204</v>
      </c>
      <c r="D579" s="125">
        <f>5.4</f>
        <v>5.4</v>
      </c>
      <c r="E579" s="94">
        <f>3.1</f>
        <v>3.1</v>
      </c>
      <c r="F579" s="92">
        <f>16.8</f>
        <v>16.8</v>
      </c>
      <c r="G579" s="96">
        <f t="shared" si="22"/>
        <v>17</v>
      </c>
      <c r="H579" s="96" t="e">
        <f>G579*#REF!</f>
        <v>#REF!</v>
      </c>
      <c r="I579" s="96" t="e">
        <f>(E579)*#REF!</f>
        <v>#REF!</v>
      </c>
      <c r="J579" s="96" t="e">
        <f>(D579)*#REF!</f>
        <v>#REF!</v>
      </c>
      <c r="K579" s="131" t="e">
        <f t="shared" si="23"/>
        <v>#REF!</v>
      </c>
      <c r="L579" s="92"/>
      <c r="M579" s="92" t="e">
        <f t="shared" si="21"/>
        <v>#REF!</v>
      </c>
      <c r="O579" s="92"/>
    </row>
    <row r="580" spans="1:15" ht="12.75">
      <c r="A580" s="93" t="s">
        <v>206</v>
      </c>
      <c r="C580" s="93" t="s">
        <v>204</v>
      </c>
      <c r="D580" s="125">
        <f>5.4</f>
        <v>5.4</v>
      </c>
      <c r="E580" s="94">
        <f>2.9</f>
        <v>2.9</v>
      </c>
      <c r="F580" s="92">
        <f>15.7</f>
        <v>15.7</v>
      </c>
      <c r="G580" s="96">
        <f t="shared" si="22"/>
        <v>16.6</v>
      </c>
      <c r="H580" s="96" t="e">
        <f>G580*#REF!</f>
        <v>#REF!</v>
      </c>
      <c r="I580" s="96" t="e">
        <f>(E580)*#REF!</f>
        <v>#REF!</v>
      </c>
      <c r="J580" s="96" t="e">
        <f>(D580)*#REF!</f>
        <v>#REF!</v>
      </c>
      <c r="K580" s="131" t="e">
        <f t="shared" si="23"/>
        <v>#REF!</v>
      </c>
      <c r="L580" s="92"/>
      <c r="M580" s="92" t="e">
        <f t="shared" si="21"/>
        <v>#REF!</v>
      </c>
      <c r="O580" s="92"/>
    </row>
    <row r="581" spans="1:15" ht="12.75">
      <c r="A581" s="93" t="s">
        <v>207</v>
      </c>
      <c r="C581" s="93" t="s">
        <v>204</v>
      </c>
      <c r="D581" s="125">
        <f>5.4</f>
        <v>5.4</v>
      </c>
      <c r="E581" s="94">
        <f>3.1</f>
        <v>3.1</v>
      </c>
      <c r="F581" s="92">
        <f>16.8</f>
        <v>16.8</v>
      </c>
      <c r="G581" s="96">
        <f t="shared" si="22"/>
        <v>17</v>
      </c>
      <c r="H581" s="96" t="e">
        <f>G581*#REF!</f>
        <v>#REF!</v>
      </c>
      <c r="I581" s="96" t="e">
        <f>(E581)*#REF!</f>
        <v>#REF!</v>
      </c>
      <c r="J581" s="96" t="e">
        <f>(D581)*#REF!</f>
        <v>#REF!</v>
      </c>
      <c r="K581" s="131" t="e">
        <f t="shared" si="23"/>
        <v>#REF!</v>
      </c>
      <c r="L581" s="92"/>
      <c r="M581" s="92" t="e">
        <f t="shared" si="21"/>
        <v>#REF!</v>
      </c>
      <c r="O581" s="92"/>
    </row>
    <row r="582" spans="1:15" ht="12.75">
      <c r="A582" s="93" t="s">
        <v>208</v>
      </c>
      <c r="C582" s="93" t="s">
        <v>204</v>
      </c>
      <c r="D582" s="125">
        <f>6.3</f>
        <v>6.3</v>
      </c>
      <c r="E582" s="94">
        <f>2.9</f>
        <v>2.9</v>
      </c>
      <c r="F582" s="92">
        <f>15.3</f>
        <v>15.3</v>
      </c>
      <c r="G582" s="96">
        <f t="shared" si="22"/>
        <v>18.4</v>
      </c>
      <c r="H582" s="96" t="e">
        <f>G582*#REF!</f>
        <v>#REF!</v>
      </c>
      <c r="I582" s="96" t="e">
        <f>(E582)*#REF!</f>
        <v>#REF!</v>
      </c>
      <c r="J582" s="96" t="e">
        <f>(D582+D582)*#REF!</f>
        <v>#REF!</v>
      </c>
      <c r="K582" s="131" t="e">
        <f t="shared" si="23"/>
        <v>#REF!</v>
      </c>
      <c r="L582" s="92"/>
      <c r="M582" s="92" t="e">
        <f t="shared" si="21"/>
        <v>#REF!</v>
      </c>
      <c r="O582" s="92"/>
    </row>
    <row r="583" spans="1:15" ht="12.75">
      <c r="A583" s="93" t="s">
        <v>209</v>
      </c>
      <c r="C583" s="93" t="s">
        <v>210</v>
      </c>
      <c r="D583" s="125">
        <f>1.7</f>
        <v>1.7</v>
      </c>
      <c r="E583" s="94">
        <f>1.5</f>
        <v>1.5</v>
      </c>
      <c r="F583" s="92">
        <f>2.55</f>
        <v>2.55</v>
      </c>
      <c r="G583" s="96">
        <f t="shared" si="22"/>
        <v>6.4</v>
      </c>
      <c r="H583" s="96" t="e">
        <f>G583*#REF!</f>
        <v>#REF!</v>
      </c>
      <c r="J583" s="96" t="e">
        <f>(E583)*#REF!</f>
        <v>#REF!</v>
      </c>
      <c r="K583" s="131" t="e">
        <f t="shared" si="23"/>
        <v>#REF!</v>
      </c>
      <c r="L583" s="92"/>
      <c r="M583" s="92" t="e">
        <f t="shared" si="21"/>
        <v>#REF!</v>
      </c>
      <c r="O583" s="92"/>
    </row>
    <row r="584" spans="1:15" ht="12.75">
      <c r="A584" s="52"/>
      <c r="B584" s="52"/>
      <c r="C584" s="93"/>
      <c r="D584" s="125"/>
      <c r="E584" s="94"/>
      <c r="F584" s="92"/>
      <c r="J584" s="126"/>
      <c r="L584" s="92"/>
      <c r="M584" s="92">
        <f t="shared" si="21"/>
        <v>0</v>
      </c>
      <c r="O584" s="92"/>
    </row>
    <row r="585" spans="1:15" ht="12.75">
      <c r="A585" s="52"/>
      <c r="B585" s="52"/>
      <c r="C585" s="124" t="s">
        <v>211</v>
      </c>
      <c r="D585" s="125"/>
      <c r="E585" s="94"/>
      <c r="F585" s="92"/>
      <c r="G585" s="96"/>
      <c r="J585" s="126"/>
      <c r="L585" s="92"/>
      <c r="M585" s="92">
        <f t="shared" si="21"/>
        <v>0</v>
      </c>
      <c r="O585" s="92"/>
    </row>
    <row r="586" spans="1:15" ht="12.75">
      <c r="A586" s="93" t="s">
        <v>212</v>
      </c>
      <c r="C586" s="93" t="s">
        <v>213</v>
      </c>
      <c r="D586" s="125">
        <f>6.3</f>
        <v>6.3</v>
      </c>
      <c r="E586" s="94">
        <f>4.5</f>
        <v>4.5</v>
      </c>
      <c r="F586" s="92">
        <f>18.65</f>
        <v>18.65</v>
      </c>
      <c r="G586" s="96">
        <f>2*(D586+E586)</f>
        <v>21.6</v>
      </c>
      <c r="H586" s="96" t="e">
        <f>G586*#REF!</f>
        <v>#REF!</v>
      </c>
      <c r="I586" s="96" t="e">
        <f>(E586)*#REF!</f>
        <v>#REF!</v>
      </c>
      <c r="J586" s="96" t="e">
        <f>(D586+D586)*#REF!</f>
        <v>#REF!</v>
      </c>
      <c r="K586" s="131" t="e">
        <f>H586-(I586+J586)</f>
        <v>#REF!</v>
      </c>
      <c r="L586" s="92"/>
      <c r="M586" s="92" t="e">
        <f t="shared" si="21"/>
        <v>#REF!</v>
      </c>
      <c r="O586" s="92"/>
    </row>
    <row r="587" spans="1:15" ht="12.75">
      <c r="A587" s="93" t="s">
        <v>214</v>
      </c>
      <c r="C587" s="133" t="s">
        <v>215</v>
      </c>
      <c r="D587" s="134">
        <f>6.3</f>
        <v>6.3</v>
      </c>
      <c r="E587" s="135">
        <f>4.5</f>
        <v>4.5</v>
      </c>
      <c r="F587" s="92">
        <f>25.1</f>
        <v>25.1</v>
      </c>
      <c r="G587" s="96">
        <f>2*(D587+E587)</f>
        <v>21.6</v>
      </c>
      <c r="H587" s="134" t="e">
        <f>G587*#REF!</f>
        <v>#REF!</v>
      </c>
      <c r="I587" s="134" t="e">
        <f>E587*#REF!</f>
        <v>#REF!</v>
      </c>
      <c r="J587" s="134" t="e">
        <f>(D587+D587)*#REF!</f>
        <v>#REF!</v>
      </c>
      <c r="L587" s="134" t="e">
        <f>H587-(I587+J587)</f>
        <v>#REF!</v>
      </c>
      <c r="M587" s="92" t="e">
        <f t="shared" si="21"/>
        <v>#REF!</v>
      </c>
      <c r="O587" s="134"/>
    </row>
    <row r="588" spans="1:15" ht="12.75">
      <c r="A588" s="93" t="s">
        <v>216</v>
      </c>
      <c r="C588" s="133" t="s">
        <v>148</v>
      </c>
      <c r="D588" s="134">
        <f>2.1</f>
        <v>2.1</v>
      </c>
      <c r="E588" s="135">
        <f>1</f>
        <v>1</v>
      </c>
      <c r="F588" s="92">
        <f>2.1</f>
        <v>2.1</v>
      </c>
      <c r="G588" s="96">
        <f>2*(D588+E588)</f>
        <v>6.2</v>
      </c>
      <c r="H588" s="134" t="e">
        <f>G588*#REF!</f>
        <v>#REF!</v>
      </c>
      <c r="I588" s="52"/>
      <c r="J588" s="134" t="e">
        <f>(D588+E588)*#REF!</f>
        <v>#REF!</v>
      </c>
      <c r="L588" s="134" t="e">
        <f>H588-(I588+J588)</f>
        <v>#REF!</v>
      </c>
      <c r="M588" s="92" t="e">
        <f t="shared" si="21"/>
        <v>#REF!</v>
      </c>
      <c r="O588" s="134"/>
    </row>
    <row r="589" spans="1:15" ht="12.75">
      <c r="A589" s="93" t="s">
        <v>217</v>
      </c>
      <c r="C589" s="93" t="s">
        <v>218</v>
      </c>
      <c r="D589" s="125">
        <f>17.1</f>
        <v>17.1</v>
      </c>
      <c r="E589" s="94">
        <f>11.7</f>
        <v>11.7</v>
      </c>
      <c r="F589" s="92">
        <f>195.6</f>
        <v>195.6</v>
      </c>
      <c r="G589" s="96">
        <f>2*(D589+E589)</f>
        <v>57.6</v>
      </c>
      <c r="H589" s="96">
        <f>G589*4.3</f>
        <v>247.68</v>
      </c>
      <c r="I589" s="96">
        <f>(2.5+D589+E589+D589)*4.3</f>
        <v>208.12</v>
      </c>
      <c r="J589" s="96">
        <f>(E589-2.5)*4.3</f>
        <v>39.559999999999995</v>
      </c>
      <c r="K589" s="131"/>
      <c r="L589" s="92"/>
      <c r="M589" s="92">
        <f t="shared" si="21"/>
        <v>0</v>
      </c>
      <c r="O589" s="92"/>
    </row>
    <row r="590" spans="1:15" ht="12.75">
      <c r="A590" s="93" t="s">
        <v>219</v>
      </c>
      <c r="C590" s="93" t="s">
        <v>220</v>
      </c>
      <c r="D590" s="125">
        <f>3</f>
        <v>3</v>
      </c>
      <c r="E590" s="94">
        <f>2.37</f>
        <v>2.37</v>
      </c>
      <c r="F590" s="92">
        <f>8.2</f>
        <v>8.2</v>
      </c>
      <c r="G590" s="96">
        <f>2*(D590+E590)</f>
        <v>10.74</v>
      </c>
      <c r="H590" s="96" t="e">
        <f>G590*#REF!</f>
        <v>#REF!</v>
      </c>
      <c r="I590" s="96" t="e">
        <f>(D590)*#REF!</f>
        <v>#REF!</v>
      </c>
      <c r="J590" s="96" t="e">
        <f>(E590+E590)*#REF!</f>
        <v>#REF!</v>
      </c>
      <c r="K590" s="131" t="e">
        <f>H590-(I590+J590)</f>
        <v>#REF!</v>
      </c>
      <c r="L590" s="132"/>
      <c r="M590" s="92" t="e">
        <f t="shared" si="21"/>
        <v>#REF!</v>
      </c>
      <c r="O590" s="92"/>
    </row>
    <row r="591" spans="1:15" ht="12.75">
      <c r="A591" s="52"/>
      <c r="B591" s="52"/>
      <c r="C591" s="93"/>
      <c r="D591" s="125"/>
      <c r="E591" s="94"/>
      <c r="F591" s="92"/>
      <c r="G591" s="96"/>
      <c r="J591" s="126"/>
      <c r="L591" s="132"/>
      <c r="M591" s="92">
        <f t="shared" si="21"/>
        <v>0</v>
      </c>
      <c r="O591" s="92"/>
    </row>
    <row r="592" spans="1:15" ht="12.75">
      <c r="A592" s="52"/>
      <c r="B592" s="52"/>
      <c r="C592" s="93"/>
      <c r="D592" s="125"/>
      <c r="E592" s="94"/>
      <c r="G592" s="96"/>
      <c r="J592" s="126"/>
      <c r="L592" s="132"/>
      <c r="M592" s="92">
        <f t="shared" si="21"/>
        <v>0</v>
      </c>
      <c r="O592" s="92"/>
    </row>
    <row r="593" spans="1:15" ht="12.75">
      <c r="A593" s="52"/>
      <c r="B593" s="52"/>
      <c r="C593" s="93"/>
      <c r="D593" s="125"/>
      <c r="E593" s="94"/>
      <c r="J593" s="126"/>
      <c r="L593" s="132"/>
      <c r="M593" s="92"/>
      <c r="O593" s="92"/>
    </row>
    <row r="594" spans="1:15" ht="12.75">
      <c r="A594" s="52"/>
      <c r="B594" s="52"/>
      <c r="C594" s="93"/>
      <c r="D594" s="125"/>
      <c r="E594" s="94"/>
      <c r="F594" s="92"/>
      <c r="G594" s="96"/>
      <c r="J594" s="126"/>
      <c r="L594" s="132"/>
      <c r="M594" s="92"/>
      <c r="O594" s="92"/>
    </row>
    <row r="595" spans="1:15" ht="12.75">
      <c r="A595" s="52"/>
      <c r="B595" s="52"/>
      <c r="C595" s="124" t="s">
        <v>221</v>
      </c>
      <c r="D595" s="125"/>
      <c r="E595" s="94"/>
      <c r="F595" s="92"/>
      <c r="G595" s="96"/>
      <c r="J595" s="126"/>
      <c r="L595" s="132"/>
      <c r="M595" s="92">
        <f aca="true" t="shared" si="24" ref="M595:M606">H595-(I595+J595+K595+L595)</f>
        <v>0</v>
      </c>
      <c r="O595" s="92"/>
    </row>
    <row r="596" spans="1:15" ht="12.75">
      <c r="A596" s="94" t="s">
        <v>222</v>
      </c>
      <c r="B596" s="94"/>
      <c r="C596" s="93" t="s">
        <v>223</v>
      </c>
      <c r="D596" s="96">
        <f>6.3</f>
        <v>6.3</v>
      </c>
      <c r="E596" s="96">
        <f>6.2</f>
        <v>6.2</v>
      </c>
      <c r="F596" s="92">
        <f>37.5</f>
        <v>37.5</v>
      </c>
      <c r="G596" s="96">
        <f aca="true" t="shared" si="25" ref="G596:G606">2*(D596+E596)</f>
        <v>25</v>
      </c>
      <c r="H596" s="96" t="e">
        <f>G596*#REF!</f>
        <v>#REF!</v>
      </c>
      <c r="I596" s="96" t="e">
        <f>(D596+E596)*#REF!</f>
        <v>#REF!</v>
      </c>
      <c r="J596" s="96" t="e">
        <f>(D596+E596)*#REF!</f>
        <v>#REF!</v>
      </c>
      <c r="K596" s="131" t="e">
        <f>H596-(I596+J596)</f>
        <v>#REF!</v>
      </c>
      <c r="L596" s="132"/>
      <c r="M596" s="92" t="e">
        <f t="shared" si="24"/>
        <v>#REF!</v>
      </c>
      <c r="O596" s="92"/>
    </row>
    <row r="597" spans="1:15" ht="12.75">
      <c r="A597" s="94" t="s">
        <v>224</v>
      </c>
      <c r="B597" s="94"/>
      <c r="C597" s="133" t="s">
        <v>225</v>
      </c>
      <c r="D597" s="96">
        <f>6.3</f>
        <v>6.3</v>
      </c>
      <c r="E597" s="96">
        <f>6.2</f>
        <v>6.2</v>
      </c>
      <c r="F597" s="92">
        <f>30.85</f>
        <v>30.85</v>
      </c>
      <c r="G597" s="96">
        <f t="shared" si="25"/>
        <v>25</v>
      </c>
      <c r="H597" s="134" t="e">
        <f>G597*#REF!</f>
        <v>#REF!</v>
      </c>
      <c r="I597" s="52"/>
      <c r="J597" s="134" t="e">
        <f>(D597+D597)*#REF!</f>
        <v>#REF!</v>
      </c>
      <c r="L597" s="134" t="e">
        <f>H597-(I597+J597)</f>
        <v>#REF!</v>
      </c>
      <c r="M597" s="92" t="e">
        <f t="shared" si="24"/>
        <v>#REF!</v>
      </c>
      <c r="O597" s="134"/>
    </row>
    <row r="598" spans="1:15" ht="12.75">
      <c r="A598" s="94" t="s">
        <v>226</v>
      </c>
      <c r="B598" s="94"/>
      <c r="C598" s="133" t="s">
        <v>227</v>
      </c>
      <c r="D598" s="134">
        <f>3.2</f>
        <v>3.2</v>
      </c>
      <c r="E598" s="135">
        <f>2</f>
        <v>2</v>
      </c>
      <c r="F598" s="92">
        <f>6.4</f>
        <v>6.4</v>
      </c>
      <c r="G598" s="96">
        <f t="shared" si="25"/>
        <v>10.4</v>
      </c>
      <c r="H598" s="134" t="e">
        <f>G598*#REF!</f>
        <v>#REF!</v>
      </c>
      <c r="I598" s="134" t="e">
        <f>E598*#REF!</f>
        <v>#REF!</v>
      </c>
      <c r="J598" s="134" t="e">
        <f>(D598)*#REF!</f>
        <v>#REF!</v>
      </c>
      <c r="L598" s="134" t="e">
        <f>H598-(I598+J598)</f>
        <v>#REF!</v>
      </c>
      <c r="M598" s="92" t="e">
        <f t="shared" si="24"/>
        <v>#REF!</v>
      </c>
      <c r="O598" s="134"/>
    </row>
    <row r="599" spans="1:15" ht="12.75">
      <c r="A599" s="94" t="s">
        <v>228</v>
      </c>
      <c r="B599" s="94"/>
      <c r="C599" s="133" t="s">
        <v>229</v>
      </c>
      <c r="D599" s="134">
        <f>4.5</f>
        <v>4.5</v>
      </c>
      <c r="E599" s="135">
        <f>2</f>
        <v>2</v>
      </c>
      <c r="F599" s="92">
        <f>9</f>
        <v>9</v>
      </c>
      <c r="G599" s="96">
        <f t="shared" si="25"/>
        <v>13</v>
      </c>
      <c r="H599" s="134" t="e">
        <f>G599*#REF!</f>
        <v>#REF!</v>
      </c>
      <c r="I599" s="134" t="e">
        <f>E599*#REF!</f>
        <v>#REF!</v>
      </c>
      <c r="J599" s="134" t="e">
        <f>(D599)*#REF!</f>
        <v>#REF!</v>
      </c>
      <c r="L599" s="134" t="e">
        <f>H599-(I599+J599)</f>
        <v>#REF!</v>
      </c>
      <c r="M599" s="92" t="e">
        <f t="shared" si="24"/>
        <v>#REF!</v>
      </c>
      <c r="O599" s="134"/>
    </row>
    <row r="600" spans="1:15" ht="12.75">
      <c r="A600" s="94" t="s">
        <v>230</v>
      </c>
      <c r="B600" s="94"/>
      <c r="C600" s="133" t="s">
        <v>231</v>
      </c>
      <c r="D600" s="134">
        <f>4.5</f>
        <v>4.5</v>
      </c>
      <c r="E600" s="135">
        <f>2</f>
        <v>2</v>
      </c>
      <c r="F600" s="92">
        <f>9</f>
        <v>9</v>
      </c>
      <c r="G600" s="96">
        <f t="shared" si="25"/>
        <v>13</v>
      </c>
      <c r="H600" s="134" t="e">
        <f>G600*#REF!</f>
        <v>#REF!</v>
      </c>
      <c r="I600" s="134" t="e">
        <f>E600*#REF!</f>
        <v>#REF!</v>
      </c>
      <c r="J600" s="134"/>
      <c r="L600" s="134" t="e">
        <f>H600-(I600+J600)</f>
        <v>#REF!</v>
      </c>
      <c r="M600" s="92" t="e">
        <f t="shared" si="24"/>
        <v>#REF!</v>
      </c>
      <c r="O600" s="134"/>
    </row>
    <row r="601" spans="1:15" ht="12.75">
      <c r="A601" s="94" t="s">
        <v>232</v>
      </c>
      <c r="B601" s="94"/>
      <c r="C601" s="93" t="s">
        <v>233</v>
      </c>
      <c r="D601" s="140">
        <f>2.775</f>
        <v>2.775</v>
      </c>
      <c r="E601" s="94">
        <f>2</f>
        <v>2</v>
      </c>
      <c r="F601" s="92">
        <f>5.55</f>
        <v>5.55</v>
      </c>
      <c r="G601" s="96">
        <f t="shared" si="25"/>
        <v>9.55</v>
      </c>
      <c r="H601" s="96" t="e">
        <f>G601*#REF!</f>
        <v>#REF!</v>
      </c>
      <c r="J601" s="96" t="e">
        <f>(E601+E601)*#REF!</f>
        <v>#REF!</v>
      </c>
      <c r="K601" s="131" t="e">
        <f>H601-(I601+J601)</f>
        <v>#REF!</v>
      </c>
      <c r="L601" s="92"/>
      <c r="M601" s="92" t="e">
        <f t="shared" si="24"/>
        <v>#REF!</v>
      </c>
      <c r="O601" s="92"/>
    </row>
    <row r="602" spans="1:15" ht="12.75">
      <c r="A602" s="94" t="s">
        <v>234</v>
      </c>
      <c r="B602" s="94"/>
      <c r="C602" s="93" t="s">
        <v>235</v>
      </c>
      <c r="D602" s="96">
        <f>3.2</f>
        <v>3.2</v>
      </c>
      <c r="E602" s="94">
        <f>2</f>
        <v>2</v>
      </c>
      <c r="F602" s="92">
        <f>6</f>
        <v>6</v>
      </c>
      <c r="G602" s="96">
        <f t="shared" si="25"/>
        <v>10.4</v>
      </c>
      <c r="H602" s="96" t="e">
        <f>G602*#REF!</f>
        <v>#REF!</v>
      </c>
      <c r="I602" s="96" t="e">
        <f>(E602)*#REF!</f>
        <v>#REF!</v>
      </c>
      <c r="J602" s="96" t="e">
        <f>(D602)*#REF!</f>
        <v>#REF!</v>
      </c>
      <c r="K602" s="131" t="e">
        <f>H602-(I602+J602)</f>
        <v>#REF!</v>
      </c>
      <c r="L602" s="92"/>
      <c r="M602" s="92" t="e">
        <f t="shared" si="24"/>
        <v>#REF!</v>
      </c>
      <c r="O602" s="92"/>
    </row>
    <row r="603" spans="1:15" ht="12.75">
      <c r="A603" s="94" t="s">
        <v>236</v>
      </c>
      <c r="B603" s="94"/>
      <c r="C603" s="133" t="s">
        <v>196</v>
      </c>
      <c r="D603" s="134">
        <f>1.7</f>
        <v>1.7</v>
      </c>
      <c r="E603" s="135">
        <f>1.2</f>
        <v>1.2</v>
      </c>
      <c r="F603" s="92">
        <f>2</f>
        <v>2</v>
      </c>
      <c r="G603" s="96">
        <f t="shared" si="25"/>
        <v>5.8</v>
      </c>
      <c r="H603" s="134" t="e">
        <f>G603*#REF!</f>
        <v>#REF!</v>
      </c>
      <c r="I603" s="134" t="e">
        <f>E603*#REF!</f>
        <v>#REF!</v>
      </c>
      <c r="J603" s="134" t="e">
        <f>(D603)*#REF!</f>
        <v>#REF!</v>
      </c>
      <c r="L603" s="134" t="e">
        <f>H603-(I603+J603)</f>
        <v>#REF!</v>
      </c>
      <c r="M603" s="92" t="e">
        <f t="shared" si="24"/>
        <v>#REF!</v>
      </c>
      <c r="O603" s="134"/>
    </row>
    <row r="604" spans="1:15" ht="12.75">
      <c r="A604" s="94" t="s">
        <v>237</v>
      </c>
      <c r="B604" s="94"/>
      <c r="C604" s="133" t="s">
        <v>148</v>
      </c>
      <c r="D604" s="134">
        <f>1.45</f>
        <v>1.45</v>
      </c>
      <c r="E604" s="135">
        <f>0.9</f>
        <v>0.9</v>
      </c>
      <c r="F604" s="92">
        <f>1.3</f>
        <v>1.3</v>
      </c>
      <c r="G604" s="96">
        <f t="shared" si="25"/>
        <v>4.7</v>
      </c>
      <c r="H604" s="134" t="e">
        <f>G604*#REF!</f>
        <v>#REF!</v>
      </c>
      <c r="I604" s="52"/>
      <c r="J604" s="134"/>
      <c r="L604" s="134" t="e">
        <f>H604-(I604+J604)</f>
        <v>#REF!</v>
      </c>
      <c r="M604" s="92" t="e">
        <f t="shared" si="24"/>
        <v>#REF!</v>
      </c>
      <c r="O604" s="134"/>
    </row>
    <row r="605" spans="1:15" ht="12.75">
      <c r="A605" s="94" t="s">
        <v>238</v>
      </c>
      <c r="B605" s="94"/>
      <c r="C605" s="93" t="s">
        <v>142</v>
      </c>
      <c r="D605" s="96">
        <f>F605/E605</f>
        <v>8.405797101449275</v>
      </c>
      <c r="E605" s="141">
        <f>1.725</f>
        <v>1.725</v>
      </c>
      <c r="F605" s="92">
        <f>14.5</f>
        <v>14.5</v>
      </c>
      <c r="G605" s="96">
        <f t="shared" si="25"/>
        <v>20.26159420289855</v>
      </c>
      <c r="H605" s="96" t="e">
        <f>G605*#REF!</f>
        <v>#REF!</v>
      </c>
      <c r="J605" s="96" t="e">
        <f>(D605+E605)*#REF!</f>
        <v>#REF!</v>
      </c>
      <c r="K605" s="131" t="e">
        <f>H605-(I605+J605)</f>
        <v>#REF!</v>
      </c>
      <c r="L605" s="92"/>
      <c r="M605" s="92" t="e">
        <f t="shared" si="24"/>
        <v>#REF!</v>
      </c>
      <c r="O605" s="92"/>
    </row>
    <row r="606" spans="1:15" ht="12.75">
      <c r="A606" s="94" t="s">
        <v>239</v>
      </c>
      <c r="B606" s="94"/>
      <c r="C606" s="93" t="s">
        <v>134</v>
      </c>
      <c r="D606" s="96">
        <f>2</f>
        <v>2</v>
      </c>
      <c r="E606" s="94">
        <f>1.55</f>
        <v>1.55</v>
      </c>
      <c r="F606" s="92">
        <f>3.45</f>
        <v>3.45</v>
      </c>
      <c r="G606" s="96">
        <f t="shared" si="25"/>
        <v>7.1</v>
      </c>
      <c r="H606" s="96" t="e">
        <f>G606*#REF!</f>
        <v>#REF!</v>
      </c>
      <c r="I606" s="52" t="e">
        <f>E606*#REF!</f>
        <v>#REF!</v>
      </c>
      <c r="J606" s="96" t="e">
        <f>D606*#REF!</f>
        <v>#REF!</v>
      </c>
      <c r="K606" s="131" t="e">
        <f>H606-(I606+J606+L606)</f>
        <v>#REF!</v>
      </c>
      <c r="L606" s="134" t="e">
        <f>(D606+E606)*#REF!</f>
        <v>#REF!</v>
      </c>
      <c r="M606" s="92" t="e">
        <f t="shared" si="24"/>
        <v>#REF!</v>
      </c>
      <c r="O606" s="134"/>
    </row>
    <row r="607" spans="1:15" ht="12.75">
      <c r="A607" s="94"/>
      <c r="B607" s="94"/>
      <c r="C607" s="93"/>
      <c r="D607" s="96"/>
      <c r="E607" s="94"/>
      <c r="F607" s="92"/>
      <c r="G607" s="96"/>
      <c r="I607" s="52"/>
      <c r="J607" s="96"/>
      <c r="K607" s="131"/>
      <c r="L607" s="134"/>
      <c r="M607" s="92"/>
      <c r="O607" s="134"/>
    </row>
    <row r="608" spans="1:15" ht="12.75">
      <c r="A608" s="94"/>
      <c r="B608" s="94"/>
      <c r="C608" s="93"/>
      <c r="D608" s="96"/>
      <c r="E608" s="94"/>
      <c r="F608" s="92"/>
      <c r="G608" s="96"/>
      <c r="I608" s="52"/>
      <c r="J608" s="96"/>
      <c r="K608" s="131"/>
      <c r="L608" s="134"/>
      <c r="M608" s="92"/>
      <c r="O608" s="134"/>
    </row>
    <row r="609" spans="1:15" ht="12.75">
      <c r="A609" s="94"/>
      <c r="B609" s="94"/>
      <c r="C609" s="93"/>
      <c r="D609" s="96"/>
      <c r="E609" s="94"/>
      <c r="F609" s="92"/>
      <c r="G609" s="96"/>
      <c r="I609" s="52"/>
      <c r="J609" s="96"/>
      <c r="K609" s="131"/>
      <c r="L609" s="134"/>
      <c r="M609" s="92"/>
      <c r="O609" s="134"/>
    </row>
    <row r="610" spans="1:15" ht="12.75">
      <c r="A610" s="94"/>
      <c r="B610" s="94"/>
      <c r="C610" s="93"/>
      <c r="D610" s="96"/>
      <c r="E610" s="94"/>
      <c r="F610" s="92"/>
      <c r="G610" s="96"/>
      <c r="I610" s="52"/>
      <c r="J610" s="96"/>
      <c r="K610" s="131"/>
      <c r="L610" s="134"/>
      <c r="M610" s="92"/>
      <c r="O610" s="134"/>
    </row>
    <row r="611" spans="1:15" ht="12.75">
      <c r="A611" s="94"/>
      <c r="B611" s="94"/>
      <c r="C611" s="93"/>
      <c r="D611" s="96"/>
      <c r="E611" s="94"/>
      <c r="F611" s="92"/>
      <c r="G611" s="96"/>
      <c r="I611" s="52"/>
      <c r="J611" s="96"/>
      <c r="K611" s="131"/>
      <c r="L611" s="134"/>
      <c r="M611" s="92"/>
      <c r="O611" s="134"/>
    </row>
    <row r="612" spans="1:15" ht="12.75">
      <c r="A612" s="94"/>
      <c r="B612" s="94"/>
      <c r="C612" s="93"/>
      <c r="D612" s="96"/>
      <c r="E612" s="94"/>
      <c r="F612" s="92"/>
      <c r="G612" s="96"/>
      <c r="I612" s="52"/>
      <c r="J612" s="96"/>
      <c r="K612" s="131"/>
      <c r="L612" s="134"/>
      <c r="M612" s="92"/>
      <c r="O612" s="134"/>
    </row>
    <row r="613" spans="1:15" ht="12.75">
      <c r="A613" s="94"/>
      <c r="B613" s="94"/>
      <c r="C613" s="93"/>
      <c r="D613" s="96"/>
      <c r="E613" s="94"/>
      <c r="F613" s="92"/>
      <c r="I613" s="52"/>
      <c r="J613" s="96"/>
      <c r="K613" s="131"/>
      <c r="L613" s="134"/>
      <c r="M613" s="92"/>
      <c r="O613" s="134"/>
    </row>
    <row r="614" spans="1:15" ht="12.75">
      <c r="A614" s="94"/>
      <c r="B614" s="94"/>
      <c r="C614" s="93"/>
      <c r="D614" s="96"/>
      <c r="E614" s="94"/>
      <c r="F614" s="92"/>
      <c r="G614" s="96"/>
      <c r="I614" s="52"/>
      <c r="J614" s="96"/>
      <c r="K614" s="131"/>
      <c r="L614" s="134"/>
      <c r="M614" s="92"/>
      <c r="O614" s="134"/>
    </row>
    <row r="615" spans="1:15" ht="12.75">
      <c r="A615" s="52"/>
      <c r="B615" s="52"/>
      <c r="C615" s="124" t="s">
        <v>240</v>
      </c>
      <c r="D615" s="134"/>
      <c r="E615" s="135"/>
      <c r="F615" s="92"/>
      <c r="G615" s="96"/>
      <c r="H615" s="134"/>
      <c r="I615" s="52"/>
      <c r="J615" s="134"/>
      <c r="L615" s="134"/>
      <c r="M615" s="92">
        <f aca="true" t="shared" si="26" ref="M615:M645">H615-(I615+J615+K615+L615)</f>
        <v>0</v>
      </c>
      <c r="O615" s="134"/>
    </row>
    <row r="616" spans="1:15" ht="12.75">
      <c r="A616" s="93" t="s">
        <v>241</v>
      </c>
      <c r="C616" s="93" t="s">
        <v>242</v>
      </c>
      <c r="D616" s="96">
        <f>6.2</f>
        <v>6.2</v>
      </c>
      <c r="E616" s="94">
        <f>4.5</f>
        <v>4.5</v>
      </c>
      <c r="F616" s="92">
        <f>28.4</f>
        <v>28.4</v>
      </c>
      <c r="G616" s="96">
        <f aca="true" t="shared" si="27" ref="G616:G627">2*(D616+E616)</f>
        <v>21.4</v>
      </c>
      <c r="H616" s="96" t="e">
        <f>G616*#REF!</f>
        <v>#REF!</v>
      </c>
      <c r="I616" s="96" t="e">
        <f>(D616+E616)*#REF!</f>
        <v>#REF!</v>
      </c>
      <c r="J616" s="96" t="e">
        <f>(D616)*#REF!</f>
        <v>#REF!</v>
      </c>
      <c r="K616" s="131" t="e">
        <f>H616-(I616+J616)</f>
        <v>#REF!</v>
      </c>
      <c r="L616" s="92"/>
      <c r="M616" s="92" t="e">
        <f t="shared" si="26"/>
        <v>#REF!</v>
      </c>
      <c r="O616" s="92"/>
    </row>
    <row r="617" spans="1:15" ht="12.75">
      <c r="A617" s="93" t="s">
        <v>243</v>
      </c>
      <c r="C617" s="93" t="s">
        <v>244</v>
      </c>
      <c r="D617" s="94">
        <f>4.5</f>
        <v>4.5</v>
      </c>
      <c r="E617" s="94">
        <f>2.7</f>
        <v>2.7</v>
      </c>
      <c r="F617" s="92">
        <f>12.15</f>
        <v>12.15</v>
      </c>
      <c r="G617" s="96">
        <f t="shared" si="27"/>
        <v>14.4</v>
      </c>
      <c r="H617" s="96" t="e">
        <f>G617*#REF!</f>
        <v>#REF!</v>
      </c>
      <c r="I617" s="96" t="e">
        <f>(D617)*#REF!</f>
        <v>#REF!</v>
      </c>
      <c r="J617" s="96" t="e">
        <f>(E617+E617)*#REF!</f>
        <v>#REF!</v>
      </c>
      <c r="K617" s="131" t="e">
        <f>H617-(I617+J617)</f>
        <v>#REF!</v>
      </c>
      <c r="L617" s="92"/>
      <c r="M617" s="92" t="e">
        <f t="shared" si="26"/>
        <v>#REF!</v>
      </c>
      <c r="O617" s="92"/>
    </row>
    <row r="618" spans="1:13" ht="12.75">
      <c r="A618" s="93" t="s">
        <v>245</v>
      </c>
      <c r="C618" s="93" t="s">
        <v>246</v>
      </c>
      <c r="D618" s="96">
        <f>4</f>
        <v>4</v>
      </c>
      <c r="E618" s="94">
        <f>1.4</f>
        <v>1.4</v>
      </c>
      <c r="F618" s="92">
        <f>5.55</f>
        <v>5.55</v>
      </c>
      <c r="G618" s="96">
        <f t="shared" si="27"/>
        <v>10.8</v>
      </c>
      <c r="H618" s="96" t="e">
        <f>G618*#REF!</f>
        <v>#REF!</v>
      </c>
      <c r="J618" s="96" t="e">
        <f>(E618)*#REF!</f>
        <v>#REF!</v>
      </c>
      <c r="K618" s="131" t="e">
        <f>H618-(I618+J618)</f>
        <v>#REF!</v>
      </c>
      <c r="M618" s="92" t="e">
        <f t="shared" si="26"/>
        <v>#REF!</v>
      </c>
    </row>
    <row r="619" spans="1:15" ht="12.75">
      <c r="A619" s="93" t="s">
        <v>247</v>
      </c>
      <c r="C619" s="133" t="s">
        <v>196</v>
      </c>
      <c r="D619" s="134">
        <f>1.8</f>
        <v>1.8</v>
      </c>
      <c r="E619" s="135">
        <f>1.4</f>
        <v>1.4</v>
      </c>
      <c r="F619" s="92">
        <f>2.5</f>
        <v>2.5</v>
      </c>
      <c r="G619" s="96">
        <f t="shared" si="27"/>
        <v>6.4</v>
      </c>
      <c r="H619" s="134" t="e">
        <f>G619*#REF!</f>
        <v>#REF!</v>
      </c>
      <c r="I619" s="52"/>
      <c r="J619" s="134" t="e">
        <f>(D619)*#REF!</f>
        <v>#REF!</v>
      </c>
      <c r="L619" s="134" t="e">
        <f>H619-(I619+J619)</f>
        <v>#REF!</v>
      </c>
      <c r="M619" s="92" t="e">
        <f t="shared" si="26"/>
        <v>#REF!</v>
      </c>
      <c r="O619" s="134"/>
    </row>
    <row r="620" spans="1:15" ht="12.75">
      <c r="A620" s="93" t="s">
        <v>248</v>
      </c>
      <c r="C620" s="133" t="s">
        <v>148</v>
      </c>
      <c r="D620" s="134">
        <f>1.65</f>
        <v>1.65</v>
      </c>
      <c r="E620" s="135">
        <f>1.4</f>
        <v>1.4</v>
      </c>
      <c r="F620" s="92">
        <f>2.3</f>
        <v>2.3</v>
      </c>
      <c r="G620" s="96">
        <f t="shared" si="27"/>
        <v>6.1</v>
      </c>
      <c r="H620" s="134" t="e">
        <f>G620*#REF!</f>
        <v>#REF!</v>
      </c>
      <c r="I620" s="52"/>
      <c r="J620" s="134" t="e">
        <f>(D620+D620)*#REF!</f>
        <v>#REF!</v>
      </c>
      <c r="L620" s="134" t="e">
        <f>H620-(I620+J620)</f>
        <v>#REF!</v>
      </c>
      <c r="M620" s="92" t="e">
        <f t="shared" si="26"/>
        <v>#REF!</v>
      </c>
      <c r="O620" s="134"/>
    </row>
    <row r="621" spans="1:15" ht="12.75">
      <c r="A621" s="93" t="s">
        <v>249</v>
      </c>
      <c r="C621" s="133" t="s">
        <v>250</v>
      </c>
      <c r="D621" s="134">
        <f>6.2</f>
        <v>6.2</v>
      </c>
      <c r="E621" s="135">
        <f>4.5</f>
        <v>4.5</v>
      </c>
      <c r="F621" s="92">
        <f>23.95</f>
        <v>23.95</v>
      </c>
      <c r="G621" s="96">
        <f t="shared" si="27"/>
        <v>21.4</v>
      </c>
      <c r="H621" s="134" t="e">
        <f>G621*#REF!</f>
        <v>#REF!</v>
      </c>
      <c r="I621" s="134" t="e">
        <f>E621*#REF!</f>
        <v>#REF!</v>
      </c>
      <c r="J621" s="134" t="e">
        <f>(D621+D621)*#REF!</f>
        <v>#REF!</v>
      </c>
      <c r="L621" s="134" t="e">
        <f>H621-(I621+J621)</f>
        <v>#REF!</v>
      </c>
      <c r="M621" s="92" t="e">
        <f t="shared" si="26"/>
        <v>#REF!</v>
      </c>
      <c r="O621" s="134"/>
    </row>
    <row r="622" spans="1:15" ht="12.75">
      <c r="A622" s="93" t="s">
        <v>251</v>
      </c>
      <c r="C622" s="133" t="s">
        <v>252</v>
      </c>
      <c r="D622" s="134">
        <f>2.2</f>
        <v>2.2</v>
      </c>
      <c r="E622" s="135">
        <f>1.9</f>
        <v>1.9</v>
      </c>
      <c r="F622" s="92">
        <f>4.2</f>
        <v>4.2</v>
      </c>
      <c r="G622" s="96">
        <f t="shared" si="27"/>
        <v>8.2</v>
      </c>
      <c r="H622" s="134" t="e">
        <f>G622*#REF!</f>
        <v>#REF!</v>
      </c>
      <c r="I622" s="52"/>
      <c r="J622" s="134" t="e">
        <f>(D622+E622)*#REF!</f>
        <v>#REF!</v>
      </c>
      <c r="L622" s="134" t="e">
        <f>H622-(I622+J622)</f>
        <v>#REF!</v>
      </c>
      <c r="M622" s="92" t="e">
        <f t="shared" si="26"/>
        <v>#REF!</v>
      </c>
      <c r="O622" s="134"/>
    </row>
    <row r="623" spans="1:13" ht="12.75">
      <c r="A623" s="93" t="s">
        <v>253</v>
      </c>
      <c r="C623" s="93" t="s">
        <v>254</v>
      </c>
      <c r="D623" s="96">
        <f>6.2</f>
        <v>6.2</v>
      </c>
      <c r="E623" s="141">
        <f>2.875</f>
        <v>2.875</v>
      </c>
      <c r="F623" s="92">
        <f>13.2</f>
        <v>13.2</v>
      </c>
      <c r="G623" s="96">
        <f t="shared" si="27"/>
        <v>18.15</v>
      </c>
      <c r="H623" s="96" t="e">
        <f>G623*#REF!</f>
        <v>#REF!</v>
      </c>
      <c r="I623" s="96" t="e">
        <f>(D623+E623)*#REF!</f>
        <v>#REF!</v>
      </c>
      <c r="J623" s="96" t="e">
        <f>(D623+E623)*#REF!</f>
        <v>#REF!</v>
      </c>
      <c r="K623" s="131"/>
      <c r="M623" s="92" t="e">
        <f t="shared" si="26"/>
        <v>#REF!</v>
      </c>
    </row>
    <row r="624" spans="1:15" ht="12.75">
      <c r="A624" s="93" t="s">
        <v>255</v>
      </c>
      <c r="C624" s="133" t="s">
        <v>196</v>
      </c>
      <c r="D624" s="134">
        <f>1.7</f>
        <v>1.7</v>
      </c>
      <c r="E624" s="135">
        <f>1.4</f>
        <v>1.4</v>
      </c>
      <c r="F624" s="92">
        <f>2.4</f>
        <v>2.4</v>
      </c>
      <c r="G624" s="96">
        <f t="shared" si="27"/>
        <v>6.199999999999999</v>
      </c>
      <c r="H624" s="134" t="e">
        <f>G624*#REF!</f>
        <v>#REF!</v>
      </c>
      <c r="I624" s="52"/>
      <c r="J624" s="134" t="e">
        <f>(D624)*#REF!</f>
        <v>#REF!</v>
      </c>
      <c r="L624" s="134" t="e">
        <f>H624-(I624+J624)</f>
        <v>#REF!</v>
      </c>
      <c r="M624" s="92" t="e">
        <f t="shared" si="26"/>
        <v>#REF!</v>
      </c>
      <c r="O624" s="134"/>
    </row>
    <row r="625" spans="1:15" ht="12.75">
      <c r="A625" s="93" t="s">
        <v>256</v>
      </c>
      <c r="C625" s="133" t="s">
        <v>148</v>
      </c>
      <c r="D625" s="134">
        <f>1.45</f>
        <v>1.45</v>
      </c>
      <c r="E625" s="135">
        <f>1.4</f>
        <v>1.4</v>
      </c>
      <c r="F625" s="92">
        <f>2</f>
        <v>2</v>
      </c>
      <c r="G625" s="96">
        <f t="shared" si="27"/>
        <v>5.699999999999999</v>
      </c>
      <c r="H625" s="134" t="e">
        <f>G625*#REF!</f>
        <v>#REF!</v>
      </c>
      <c r="I625" s="52"/>
      <c r="J625" s="134" t="e">
        <f>(D625+E625)*#REF!</f>
        <v>#REF!</v>
      </c>
      <c r="L625" s="134" t="e">
        <f>H625-(I625+J625)</f>
        <v>#REF!</v>
      </c>
      <c r="M625" s="92" t="e">
        <f t="shared" si="26"/>
        <v>#REF!</v>
      </c>
      <c r="O625" s="134"/>
    </row>
    <row r="626" spans="1:15" ht="12.75">
      <c r="A626" s="93" t="s">
        <v>257</v>
      </c>
      <c r="C626" s="93" t="s">
        <v>181</v>
      </c>
      <c r="D626" s="140">
        <f>2.775</f>
        <v>2.775</v>
      </c>
      <c r="E626" s="94">
        <f>0.85</f>
        <v>0.85</v>
      </c>
      <c r="F626" s="92">
        <f>2.35</f>
        <v>2.35</v>
      </c>
      <c r="G626" s="96">
        <f t="shared" si="27"/>
        <v>7.25</v>
      </c>
      <c r="H626" s="96" t="e">
        <f>G626*#REF!</f>
        <v>#REF!</v>
      </c>
      <c r="J626" s="96" t="e">
        <f>2*(D626+E626)*#REF!</f>
        <v>#REF!</v>
      </c>
      <c r="K626" s="131" t="e">
        <f>H626-(I626+J626)</f>
        <v>#REF!</v>
      </c>
      <c r="L626" s="132"/>
      <c r="M626" s="92" t="e">
        <f t="shared" si="26"/>
        <v>#REF!</v>
      </c>
      <c r="O626" s="92"/>
    </row>
    <row r="627" spans="1:13" ht="12.75">
      <c r="A627" s="93" t="s">
        <v>258</v>
      </c>
      <c r="C627" s="93" t="s">
        <v>259</v>
      </c>
      <c r="D627" s="96">
        <f>3.05</f>
        <v>3.05</v>
      </c>
      <c r="E627" s="94">
        <f>3</f>
        <v>3</v>
      </c>
      <c r="F627" s="92">
        <f>9.1</f>
        <v>9.1</v>
      </c>
      <c r="G627" s="96">
        <f t="shared" si="27"/>
        <v>12.1</v>
      </c>
      <c r="H627" s="96" t="e">
        <f>G627*#REF!</f>
        <v>#REF!</v>
      </c>
      <c r="J627" s="96" t="e">
        <f>(D627+E627)*#REF!</f>
        <v>#REF!</v>
      </c>
      <c r="K627" s="131" t="e">
        <f>H627-(I627+J627)</f>
        <v>#REF!</v>
      </c>
      <c r="L627" s="132"/>
      <c r="M627" s="92" t="e">
        <f t="shared" si="26"/>
        <v>#REF!</v>
      </c>
    </row>
    <row r="628" spans="1:13" ht="12.75">
      <c r="A628" s="52"/>
      <c r="B628" s="52"/>
      <c r="D628" s="52"/>
      <c r="E628" s="52"/>
      <c r="H628" s="52"/>
      <c r="I628" s="52"/>
      <c r="M628" s="92">
        <f t="shared" si="26"/>
        <v>0</v>
      </c>
    </row>
    <row r="629" spans="1:13" ht="12.75">
      <c r="A629" s="52"/>
      <c r="B629" s="52"/>
      <c r="D629" s="52"/>
      <c r="E629" s="52"/>
      <c r="H629" s="52"/>
      <c r="I629" s="52"/>
      <c r="M629" s="92">
        <f t="shared" si="26"/>
        <v>0</v>
      </c>
    </row>
    <row r="630" spans="1:13" ht="12.75">
      <c r="A630" s="52"/>
      <c r="B630" s="52"/>
      <c r="D630" s="52"/>
      <c r="E630" s="52"/>
      <c r="H630" s="52"/>
      <c r="I630" s="52"/>
      <c r="M630" s="92">
        <f t="shared" si="26"/>
        <v>0</v>
      </c>
    </row>
    <row r="631" spans="1:13" ht="12.75">
      <c r="A631" s="52"/>
      <c r="B631" s="52"/>
      <c r="D631" s="52"/>
      <c r="E631" s="52"/>
      <c r="H631" s="52"/>
      <c r="I631" s="52"/>
      <c r="M631" s="92">
        <f t="shared" si="26"/>
        <v>0</v>
      </c>
    </row>
    <row r="632" spans="1:13" ht="12.75">
      <c r="A632" s="52"/>
      <c r="B632" s="52"/>
      <c r="D632" s="52"/>
      <c r="E632" s="52"/>
      <c r="H632" s="52"/>
      <c r="I632" s="52"/>
      <c r="M632" s="92">
        <f t="shared" si="26"/>
        <v>0</v>
      </c>
    </row>
    <row r="633" spans="1:13" ht="12.75">
      <c r="A633" s="52"/>
      <c r="B633" s="52"/>
      <c r="D633" s="52"/>
      <c r="H633" s="52"/>
      <c r="I633" s="52"/>
      <c r="M633" s="92">
        <f t="shared" si="26"/>
        <v>0</v>
      </c>
    </row>
    <row r="634" spans="1:13" ht="12.75">
      <c r="A634" s="52"/>
      <c r="B634" s="52"/>
      <c r="D634" s="52"/>
      <c r="E634" s="52"/>
      <c r="H634" s="52"/>
      <c r="I634" s="52"/>
      <c r="M634" s="92">
        <f t="shared" si="26"/>
        <v>0</v>
      </c>
    </row>
    <row r="635" spans="1:13" ht="12.75">
      <c r="A635" s="52"/>
      <c r="B635" s="52"/>
      <c r="C635" s="124" t="s">
        <v>260</v>
      </c>
      <c r="G635" s="96"/>
      <c r="I635" s="52"/>
      <c r="M635" s="92">
        <f t="shared" si="26"/>
        <v>0</v>
      </c>
    </row>
    <row r="636" spans="1:15" ht="12.75">
      <c r="A636" s="52">
        <f>1</f>
        <v>1</v>
      </c>
      <c r="B636" s="52"/>
      <c r="C636" s="93" t="s">
        <v>261</v>
      </c>
      <c r="D636" s="96">
        <f>6</f>
        <v>6</v>
      </c>
      <c r="E636" s="94">
        <f>3.6</f>
        <v>3.6</v>
      </c>
      <c r="F636" s="92">
        <f>21.6</f>
        <v>21.6</v>
      </c>
      <c r="G636" s="96">
        <f aca="true" t="shared" si="28" ref="G636:G643">2*(D636+E636)</f>
        <v>19.2</v>
      </c>
      <c r="H636" s="96" t="e">
        <f>G636*#REF!</f>
        <v>#REF!</v>
      </c>
      <c r="I636" s="96" t="e">
        <f>(E636+D636+E636+1.5)*#REF!</f>
        <v>#REF!</v>
      </c>
      <c r="J636" s="96" t="e">
        <f>H636-I636</f>
        <v>#REF!</v>
      </c>
      <c r="L636" s="132"/>
      <c r="M636" s="92" t="e">
        <f t="shared" si="26"/>
        <v>#REF!</v>
      </c>
      <c r="O636" s="134"/>
    </row>
    <row r="637" spans="1:15" ht="12.75">
      <c r="A637" s="52">
        <f aca="true" t="shared" si="29" ref="A637:A643">1+A636</f>
        <v>2</v>
      </c>
      <c r="B637" s="52"/>
      <c r="C637" s="93" t="s">
        <v>134</v>
      </c>
      <c r="D637" s="96">
        <f>4.2</f>
        <v>4.2</v>
      </c>
      <c r="E637" s="94">
        <f>1.8</f>
        <v>1.8</v>
      </c>
      <c r="F637" s="92">
        <f>7.6</f>
        <v>7.6</v>
      </c>
      <c r="G637" s="96">
        <f t="shared" si="28"/>
        <v>12</v>
      </c>
      <c r="H637" s="96" t="e">
        <f>G637*#REF!</f>
        <v>#REF!</v>
      </c>
      <c r="I637" s="96" t="e">
        <f>E637*#REF!</f>
        <v>#REF!</v>
      </c>
      <c r="J637" s="96" t="e">
        <f>D637*#REF!</f>
        <v>#REF!</v>
      </c>
      <c r="K637" s="131" t="e">
        <f>H637-(I637+J637)</f>
        <v>#REF!</v>
      </c>
      <c r="L637" s="132"/>
      <c r="M637" s="92" t="e">
        <f t="shared" si="26"/>
        <v>#REF!</v>
      </c>
      <c r="O637" s="134"/>
    </row>
    <row r="638" spans="1:15" ht="12.75">
      <c r="A638" s="52">
        <f t="shared" si="29"/>
        <v>3</v>
      </c>
      <c r="B638" s="52"/>
      <c r="C638" s="133" t="s">
        <v>262</v>
      </c>
      <c r="D638" s="134">
        <f>5.9</f>
        <v>5.9</v>
      </c>
      <c r="E638" s="135">
        <f>3</f>
        <v>3</v>
      </c>
      <c r="F638" s="92">
        <f>17.9</f>
        <v>17.9</v>
      </c>
      <c r="G638" s="96">
        <f t="shared" si="28"/>
        <v>17.8</v>
      </c>
      <c r="H638" s="134" t="e">
        <f>G638*#REF!</f>
        <v>#REF!</v>
      </c>
      <c r="I638" s="134" t="e">
        <f>(D638+E638)*#REF!</f>
        <v>#REF!</v>
      </c>
      <c r="J638" s="134" t="e">
        <f>E638*#REF!</f>
        <v>#REF!</v>
      </c>
      <c r="L638" s="134" t="e">
        <f>H638-(I638+J638)</f>
        <v>#REF!</v>
      </c>
      <c r="M638" s="92" t="e">
        <f t="shared" si="26"/>
        <v>#REF!</v>
      </c>
      <c r="O638" s="134"/>
    </row>
    <row r="639" spans="1:15" ht="12.75">
      <c r="A639" s="52">
        <f t="shared" si="29"/>
        <v>4</v>
      </c>
      <c r="B639" s="52"/>
      <c r="C639" s="133" t="s">
        <v>262</v>
      </c>
      <c r="D639" s="134">
        <f>4.2</f>
        <v>4.2</v>
      </c>
      <c r="E639" s="135">
        <f>4</f>
        <v>4</v>
      </c>
      <c r="F639" s="92">
        <f>16.3</f>
        <v>16.3</v>
      </c>
      <c r="G639" s="96">
        <f t="shared" si="28"/>
        <v>16.4</v>
      </c>
      <c r="H639" s="134" t="e">
        <f>G639*#REF!</f>
        <v>#REF!</v>
      </c>
      <c r="I639" s="134" t="e">
        <f>(D639)*#REF!</f>
        <v>#REF!</v>
      </c>
      <c r="J639" s="134"/>
      <c r="L639" s="134" t="e">
        <f>H639-(I639+J639)</f>
        <v>#REF!</v>
      </c>
      <c r="M639" s="92" t="e">
        <f t="shared" si="26"/>
        <v>#REF!</v>
      </c>
      <c r="O639" s="134"/>
    </row>
    <row r="640" spans="1:15" ht="12.75">
      <c r="A640" s="52">
        <f t="shared" si="29"/>
        <v>5</v>
      </c>
      <c r="B640" s="52"/>
      <c r="C640" s="93" t="s">
        <v>263</v>
      </c>
      <c r="D640" s="96">
        <f>4</f>
        <v>4</v>
      </c>
      <c r="E640" s="96">
        <f>3.65</f>
        <v>3.65</v>
      </c>
      <c r="F640" s="92">
        <f>14.6</f>
        <v>14.6</v>
      </c>
      <c r="G640" s="96">
        <f t="shared" si="28"/>
        <v>15.3</v>
      </c>
      <c r="H640" s="96" t="e">
        <f>G640*#REF!</f>
        <v>#REF!</v>
      </c>
      <c r="I640" s="96" t="e">
        <f>(E640+E640)*#REF!</f>
        <v>#REF!</v>
      </c>
      <c r="J640" s="134"/>
      <c r="K640" s="131" t="e">
        <f>H640-(I640+J640)</f>
        <v>#REF!</v>
      </c>
      <c r="L640" s="132"/>
      <c r="M640" s="92" t="e">
        <f t="shared" si="26"/>
        <v>#REF!</v>
      </c>
      <c r="O640" s="134"/>
    </row>
    <row r="641" spans="1:15" ht="12.75">
      <c r="A641" s="52">
        <f t="shared" si="29"/>
        <v>6</v>
      </c>
      <c r="B641" s="52"/>
      <c r="C641" s="93" t="s">
        <v>264</v>
      </c>
      <c r="D641" s="96">
        <f>4</f>
        <v>4</v>
      </c>
      <c r="E641" s="141">
        <f>2.475</f>
        <v>2.475</v>
      </c>
      <c r="F641" s="92">
        <f>9.9</f>
        <v>9.9</v>
      </c>
      <c r="G641" s="96">
        <f t="shared" si="28"/>
        <v>12.95</v>
      </c>
      <c r="H641" s="96" t="e">
        <f>G641*#REF!</f>
        <v>#REF!</v>
      </c>
      <c r="I641" s="96" t="e">
        <f>(E641+E641)*#REF!</f>
        <v>#REF!</v>
      </c>
      <c r="J641" s="126"/>
      <c r="K641" s="131" t="e">
        <f>H641-(I641+J641)</f>
        <v>#REF!</v>
      </c>
      <c r="L641" s="132"/>
      <c r="M641" s="92" t="e">
        <f t="shared" si="26"/>
        <v>#REF!</v>
      </c>
      <c r="O641" s="92"/>
    </row>
    <row r="642" spans="1:15" ht="12.75">
      <c r="A642" s="52">
        <f t="shared" si="29"/>
        <v>7</v>
      </c>
      <c r="B642" s="52"/>
      <c r="C642" s="133" t="s">
        <v>265</v>
      </c>
      <c r="D642" s="134">
        <f>6.1</f>
        <v>6.1</v>
      </c>
      <c r="E642" s="135">
        <f>4</f>
        <v>4</v>
      </c>
      <c r="F642" s="92">
        <f>24</f>
        <v>24</v>
      </c>
      <c r="G642" s="96">
        <f t="shared" si="28"/>
        <v>20.2</v>
      </c>
      <c r="H642" s="134" t="e">
        <f>G642*#REF!</f>
        <v>#REF!</v>
      </c>
      <c r="I642" s="134" t="e">
        <f>(D642+E642)*#REF!</f>
        <v>#REF!</v>
      </c>
      <c r="J642" s="134" t="e">
        <f>E642*#REF!</f>
        <v>#REF!</v>
      </c>
      <c r="L642" s="134" t="e">
        <f>H642-(I642+J642)</f>
        <v>#REF!</v>
      </c>
      <c r="M642" s="92" t="e">
        <f t="shared" si="26"/>
        <v>#REF!</v>
      </c>
      <c r="O642" s="134"/>
    </row>
    <row r="643" spans="1:15" ht="12.75">
      <c r="A643" s="52">
        <f t="shared" si="29"/>
        <v>8</v>
      </c>
      <c r="B643" s="52"/>
      <c r="C643" s="133" t="s">
        <v>266</v>
      </c>
      <c r="D643" s="134">
        <f>6.1</f>
        <v>6.1</v>
      </c>
      <c r="E643" s="139">
        <f>3.075</f>
        <v>3.075</v>
      </c>
      <c r="F643" s="92">
        <f>18.45</f>
        <v>18.45</v>
      </c>
      <c r="G643" s="96">
        <f t="shared" si="28"/>
        <v>18.35</v>
      </c>
      <c r="H643" s="134" t="e">
        <f>G643*#REF!</f>
        <v>#REF!</v>
      </c>
      <c r="I643" s="134" t="e">
        <f>(D643+E643)*#REF!</f>
        <v>#REF!</v>
      </c>
      <c r="J643" s="134" t="e">
        <f>E643*#REF!</f>
        <v>#REF!</v>
      </c>
      <c r="L643" s="134" t="e">
        <f>H643-(I643+J643)</f>
        <v>#REF!</v>
      </c>
      <c r="M643" s="92" t="e">
        <f t="shared" si="26"/>
        <v>#REF!</v>
      </c>
      <c r="O643" s="134"/>
    </row>
    <row r="644" spans="7:13" ht="12.75">
      <c r="G644" s="96"/>
      <c r="I644" s="52"/>
      <c r="M644" s="92">
        <f t="shared" si="26"/>
        <v>0</v>
      </c>
    </row>
    <row r="645" spans="1:16" ht="12.75">
      <c r="A645" s="96">
        <f>2*(D645+E645)+(D646*2+E646)+2*(D647+E647)</f>
        <v>286.7</v>
      </c>
      <c r="B645" s="96"/>
      <c r="C645" s="93" t="e">
        <f>#REF!</f>
        <v>#REF!</v>
      </c>
      <c r="D645" s="142">
        <f>65.9</f>
        <v>65.9</v>
      </c>
      <c r="E645" s="92">
        <f>15.55</f>
        <v>15.55</v>
      </c>
      <c r="F645" s="92">
        <f>SUM(F528:F643)</f>
        <v>1259.3499999999997</v>
      </c>
      <c r="G645" s="92">
        <f>SUM(G527:G643)</f>
        <v>1224.141276742581</v>
      </c>
      <c r="H645" s="92" t="e">
        <f>SUM(H527:H643)</f>
        <v>#REF!</v>
      </c>
      <c r="I645" s="143" t="e">
        <f>SUM(I1:I643)</f>
        <v>#REF!</v>
      </c>
      <c r="J645" s="144" t="e">
        <f>SUM(J527:J643)</f>
        <v>#REF!</v>
      </c>
      <c r="K645" s="145" t="e">
        <f>SUM(K527:K643)</f>
        <v>#REF!</v>
      </c>
      <c r="L645" s="122" t="e">
        <f>SUM(L527:L643)</f>
        <v>#REF!</v>
      </c>
      <c r="M645" s="92" t="e">
        <f t="shared" si="26"/>
        <v>#REF!</v>
      </c>
      <c r="O645" s="134"/>
      <c r="P645" s="134"/>
    </row>
    <row r="646" spans="1:16" ht="12.75">
      <c r="A646" s="96"/>
      <c r="B646" s="96"/>
      <c r="C646" s="146"/>
      <c r="D646" s="142">
        <f>25</f>
        <v>25</v>
      </c>
      <c r="E646" s="94">
        <f>12</f>
        <v>12</v>
      </c>
      <c r="F646" s="96">
        <f>D645*E645+D646*E646+D647*E647-(6*2+10*7)</f>
        <v>1474.9450000000002</v>
      </c>
      <c r="G646" s="99"/>
      <c r="H646" s="99" t="e">
        <f>I645+1.5*(J645+K645+L645)/2</f>
        <v>#REF!</v>
      </c>
      <c r="I646" s="99"/>
      <c r="J646" s="125"/>
      <c r="K646" s="126">
        <f>18*(7+7)+8*(4.5+4.5)+(9+9)*70+10*1</f>
        <v>1594</v>
      </c>
      <c r="L646" s="134"/>
      <c r="M646" s="92"/>
      <c r="O646" s="134"/>
      <c r="P646" s="134"/>
    </row>
    <row r="647" spans="1:16" ht="12.75">
      <c r="A647" s="96"/>
      <c r="B647" s="96"/>
      <c r="D647" s="142">
        <f>18</f>
        <v>18</v>
      </c>
      <c r="E647" s="94">
        <f>12.9</f>
        <v>12.9</v>
      </c>
      <c r="F647" s="99">
        <f>SUM(F557+F559+F560+F561+F566+F568+F569+F570+F571+F574+F578+F579+F580+F581+F582+F583+F586+F589+F590+F596+F601+F602+F616+F617+F618+F623+F627)</f>
        <v>564.6</v>
      </c>
      <c r="G647" s="99">
        <f>SUM(G557+G559+G560+G561+G566+G568+G569+G570+G571+G574+G578+G579+G580+G581+G582+G583+G586+G589+G590+G596+G601+G602+G616+G617+G618+G623+G627)</f>
        <v>467.04</v>
      </c>
      <c r="H647" s="99"/>
      <c r="I647" s="99"/>
      <c r="J647" s="99"/>
      <c r="K647" s="126">
        <f>(D647*E647-8.65*6.4)*1.15</f>
        <v>203.36599999999999</v>
      </c>
      <c r="L647" s="132"/>
      <c r="M647" s="92"/>
      <c r="O647" s="134"/>
      <c r="P647" s="134"/>
    </row>
    <row r="648" spans="1:16" ht="12.75">
      <c r="A648" s="96"/>
      <c r="B648" s="96"/>
      <c r="C648" s="146"/>
      <c r="E648" s="147"/>
      <c r="F648" s="148">
        <f>(F535+F536+F558+F559+F560+F562+F563+F567+F572+F573+F575+F576+F577+F587+F588+F597+F598+F599+F600+F603+F604+F619+F620+F621+F622+F624+F625)+1.8*(F638+F639+F642+F643)</f>
        <v>323.52000000000004</v>
      </c>
      <c r="G648" s="148">
        <f>(G535+G536+G558+G559+G560+G562+G563+G567+G572+G573+G575+G576+G577+G587+G588+G597+G598+G599+G600+G603+G604+G619+G620+G621+G622+G624+G625)+1.8*(G638+G639+G642+G643)</f>
        <v>389.4</v>
      </c>
      <c r="H648" s="149" t="e">
        <f>(H535+H536+H558+H559+H560+H562+H563+H567+H572+H573+H575+H576+H577+H587+H588+H597+H598+H599+H600+H603+H604+H619+H620+H621+H622+H624+H625)+1.8*(H638+H639+H642+H643)</f>
        <v>#REF!</v>
      </c>
      <c r="I648" s="99"/>
      <c r="J648" s="99"/>
      <c r="K648" s="126"/>
      <c r="L648" s="132"/>
      <c r="M648" s="92"/>
      <c r="O648" s="134"/>
      <c r="P648" s="134"/>
    </row>
    <row r="649" spans="1:16" ht="12.75">
      <c r="A649" s="96"/>
      <c r="B649" s="96"/>
      <c r="C649" s="146"/>
      <c r="G649" s="96"/>
      <c r="H649" s="99"/>
      <c r="I649" s="99"/>
      <c r="J649" s="99"/>
      <c r="K649" s="126"/>
      <c r="L649" s="132"/>
      <c r="M649" s="92">
        <f>H649-(I649+J649+K649+L649)</f>
        <v>0</v>
      </c>
      <c r="O649" s="134"/>
      <c r="P649" s="134"/>
    </row>
    <row r="650" spans="1:16" ht="12.75">
      <c r="A650" s="96"/>
      <c r="B650" s="96"/>
      <c r="C650" s="146"/>
      <c r="F650" s="92"/>
      <c r="H650" s="99"/>
      <c r="I650" s="99"/>
      <c r="J650" s="99"/>
      <c r="K650" s="126"/>
      <c r="L650" s="132"/>
      <c r="M650" s="92">
        <f>H650-(I650+J650+K650+L650)</f>
        <v>0</v>
      </c>
      <c r="O650" s="134"/>
      <c r="P650" s="134"/>
    </row>
    <row r="651" spans="1:16" ht="12.75">
      <c r="A651" s="96"/>
      <c r="B651" s="96"/>
      <c r="C651" s="146"/>
      <c r="G651" s="96"/>
      <c r="H651" s="99"/>
      <c r="I651" s="99"/>
      <c r="J651" s="99"/>
      <c r="K651" s="126"/>
      <c r="L651" s="132"/>
      <c r="M651" s="92">
        <f>H651-(I651+J651+K651+L651)</f>
        <v>0</v>
      </c>
      <c r="O651" s="134"/>
      <c r="P651" s="134"/>
    </row>
    <row r="652" spans="3:15" ht="12.75">
      <c r="C652" s="93" t="s">
        <v>267</v>
      </c>
      <c r="G652" s="96"/>
      <c r="H652" s="52"/>
      <c r="I652" s="99">
        <f>(3+3.8)/2</f>
        <v>3.4</v>
      </c>
      <c r="L652" s="92"/>
      <c r="M652" s="92"/>
      <c r="O652" s="92"/>
    </row>
    <row r="653" spans="3:15" ht="12.75">
      <c r="C653" s="124" t="s">
        <v>268</v>
      </c>
      <c r="G653" s="96"/>
      <c r="H653" s="52"/>
      <c r="I653" s="150">
        <f>2.8</f>
        <v>2.8</v>
      </c>
      <c r="L653" s="92"/>
      <c r="M653" s="92"/>
      <c r="O653" s="92"/>
    </row>
    <row r="654" spans="1:15" ht="12.75">
      <c r="A654" s="93" t="s">
        <v>133</v>
      </c>
      <c r="C654" s="93" t="s">
        <v>136</v>
      </c>
      <c r="D654" s="96">
        <f>10.5</f>
        <v>10.5</v>
      </c>
      <c r="E654" s="94">
        <f>5</f>
        <v>5</v>
      </c>
      <c r="F654" s="92">
        <f>52.45</f>
        <v>52.45</v>
      </c>
      <c r="G654" s="96">
        <f>2*(D654+E654)</f>
        <v>31</v>
      </c>
      <c r="H654" s="96">
        <f>G654*I$653</f>
        <v>86.8</v>
      </c>
      <c r="I654" s="96">
        <f>4*I$653</f>
        <v>11.2</v>
      </c>
      <c r="J654" s="96">
        <f>H654-I654</f>
        <v>75.6</v>
      </c>
      <c r="K654" s="131">
        <f>H654-(I654+J654)</f>
        <v>0</v>
      </c>
      <c r="L654" s="92"/>
      <c r="M654" s="92">
        <f aca="true" t="shared" si="30" ref="M654:M661">H654-(I654+J654+K654+L654)</f>
        <v>0</v>
      </c>
      <c r="O654" s="92"/>
    </row>
    <row r="655" spans="1:15" ht="12.75">
      <c r="A655" s="93" t="s">
        <v>135</v>
      </c>
      <c r="C655" s="93" t="s">
        <v>138</v>
      </c>
      <c r="D655" s="96"/>
      <c r="E655" s="94"/>
      <c r="F655" s="92"/>
      <c r="G655" s="96"/>
      <c r="J655" s="96"/>
      <c r="L655" s="92"/>
      <c r="M655" s="92">
        <f t="shared" si="30"/>
        <v>0</v>
      </c>
      <c r="O655" s="92"/>
    </row>
    <row r="656" spans="1:15" ht="12.75">
      <c r="A656" s="93" t="s">
        <v>137</v>
      </c>
      <c r="C656" s="93" t="s">
        <v>140</v>
      </c>
      <c r="D656" s="96">
        <f>4.2</f>
        <v>4.2</v>
      </c>
      <c r="E656" s="94">
        <f>3.45</f>
        <v>3.45</v>
      </c>
      <c r="F656" s="92">
        <f>14.5</f>
        <v>14.5</v>
      </c>
      <c r="G656" s="96">
        <f aca="true" t="shared" si="31" ref="G656:G661">2*(D656+E656)</f>
        <v>15.3</v>
      </c>
      <c r="H656" s="96">
        <f>G656*I$653</f>
        <v>42.839999999999996</v>
      </c>
      <c r="I656" s="96">
        <f>(E656)*I$653</f>
        <v>9.66</v>
      </c>
      <c r="J656" s="96">
        <f>(D656+D656)*I$653</f>
        <v>23.52</v>
      </c>
      <c r="K656" s="131">
        <f>H656-(I656+J656)</f>
        <v>9.659999999999997</v>
      </c>
      <c r="L656" s="132"/>
      <c r="M656" s="92">
        <f t="shared" si="30"/>
        <v>0</v>
      </c>
      <c r="O656" s="92"/>
    </row>
    <row r="657" spans="1:15" ht="12.75">
      <c r="A657" s="93" t="s">
        <v>139</v>
      </c>
      <c r="C657" s="93" t="s">
        <v>142</v>
      </c>
      <c r="D657" s="96">
        <f>F657/E657</f>
        <v>10.55</v>
      </c>
      <c r="E657" s="94">
        <f>2</f>
        <v>2</v>
      </c>
      <c r="F657" s="92">
        <f>21.1</f>
        <v>21.1</v>
      </c>
      <c r="G657" s="96">
        <f t="shared" si="31"/>
        <v>25.1</v>
      </c>
      <c r="H657" s="96">
        <f>G657*I$653</f>
        <v>70.28</v>
      </c>
      <c r="J657" s="96"/>
      <c r="K657" s="131">
        <f>H657-(I657+J657)</f>
        <v>70.28</v>
      </c>
      <c r="L657" s="132"/>
      <c r="M657" s="92">
        <f t="shared" si="30"/>
        <v>0</v>
      </c>
      <c r="O657" s="92"/>
    </row>
    <row r="658" spans="1:15" ht="12.75">
      <c r="A658" s="93" t="s">
        <v>141</v>
      </c>
      <c r="C658" s="93" t="s">
        <v>142</v>
      </c>
      <c r="D658" s="96">
        <f>27</f>
        <v>27</v>
      </c>
      <c r="E658" s="94">
        <f>4</f>
        <v>4</v>
      </c>
      <c r="F658" s="92">
        <f>65.55</f>
        <v>65.55</v>
      </c>
      <c r="G658" s="96">
        <f t="shared" si="31"/>
        <v>62</v>
      </c>
      <c r="H658" s="96">
        <f>G658*I$653</f>
        <v>173.6</v>
      </c>
      <c r="I658" s="96">
        <f>(E658)*I$653</f>
        <v>11.2</v>
      </c>
      <c r="J658" s="96">
        <f>(E658)*I$653</f>
        <v>11.2</v>
      </c>
      <c r="K658" s="131">
        <f>H658-(I658+J658)</f>
        <v>151.2</v>
      </c>
      <c r="L658" s="132"/>
      <c r="M658" s="92">
        <f t="shared" si="30"/>
        <v>0</v>
      </c>
      <c r="O658" s="92"/>
    </row>
    <row r="659" spans="1:15" ht="12.75">
      <c r="A659" s="93" t="s">
        <v>143</v>
      </c>
      <c r="C659" s="93" t="s">
        <v>142</v>
      </c>
      <c r="D659" s="96">
        <f>36</f>
        <v>36</v>
      </c>
      <c r="E659" s="94">
        <f>4</f>
        <v>4</v>
      </c>
      <c r="F659" s="92">
        <f>77.45</f>
        <v>77.45</v>
      </c>
      <c r="G659" s="96">
        <f t="shared" si="31"/>
        <v>80</v>
      </c>
      <c r="H659" s="96">
        <f>G659*I$653</f>
        <v>224</v>
      </c>
      <c r="I659" s="96">
        <f>(E659)*I$653</f>
        <v>11.2</v>
      </c>
      <c r="J659" s="96">
        <f>(E659)*I$653</f>
        <v>11.2</v>
      </c>
      <c r="K659" s="131">
        <f>H659-(I659+J659)</f>
        <v>201.6</v>
      </c>
      <c r="L659" s="132"/>
      <c r="M659" s="92">
        <f t="shared" si="30"/>
        <v>0</v>
      </c>
      <c r="O659" s="92"/>
    </row>
    <row r="660" spans="1:15" ht="12.75">
      <c r="A660" s="93" t="s">
        <v>144</v>
      </c>
      <c r="C660" s="93" t="s">
        <v>269</v>
      </c>
      <c r="D660" s="96">
        <f>6.35</f>
        <v>6.35</v>
      </c>
      <c r="E660" s="94">
        <f>2.5</f>
        <v>2.5</v>
      </c>
      <c r="F660" s="92">
        <f>5.8</f>
        <v>5.8</v>
      </c>
      <c r="G660" s="96">
        <f t="shared" si="31"/>
        <v>17.7</v>
      </c>
      <c r="H660" s="96">
        <f>G660*I$653</f>
        <v>49.559999999999995</v>
      </c>
      <c r="I660" s="96">
        <f>(D660+E660)*I$653</f>
        <v>24.779999999999998</v>
      </c>
      <c r="J660" s="96">
        <f>(D660+E660)*I$653</f>
        <v>24.779999999999998</v>
      </c>
      <c r="K660" s="131">
        <f>H660-(I660+J660)</f>
        <v>0</v>
      </c>
      <c r="L660" s="132"/>
      <c r="M660" s="92">
        <f t="shared" si="30"/>
        <v>0</v>
      </c>
      <c r="O660" s="92"/>
    </row>
    <row r="661" spans="1:15" ht="12.75">
      <c r="A661" s="93" t="s">
        <v>145</v>
      </c>
      <c r="C661" s="93" t="s">
        <v>270</v>
      </c>
      <c r="D661" s="94">
        <f>7</f>
        <v>7</v>
      </c>
      <c r="E661" s="94">
        <f>3</f>
        <v>3</v>
      </c>
      <c r="F661" s="92">
        <f>23.1</f>
        <v>23.1</v>
      </c>
      <c r="G661" s="96">
        <f t="shared" si="31"/>
        <v>20</v>
      </c>
      <c r="H661" s="96">
        <f>G661*2</f>
        <v>40</v>
      </c>
      <c r="I661" s="96">
        <f>(E661+E661)*2</f>
        <v>12</v>
      </c>
      <c r="J661" s="96">
        <f>(D661+D661)*2</f>
        <v>28</v>
      </c>
      <c r="K661" s="131"/>
      <c r="L661" s="92"/>
      <c r="M661" s="92">
        <f t="shared" si="30"/>
        <v>0</v>
      </c>
      <c r="O661" s="92"/>
    </row>
    <row r="662" spans="3:15" ht="12.75">
      <c r="C662" s="93"/>
      <c r="D662" s="94"/>
      <c r="E662" s="94"/>
      <c r="F662" s="92"/>
      <c r="G662" s="96"/>
      <c r="J662" s="96"/>
      <c r="K662" s="131"/>
      <c r="L662" s="92"/>
      <c r="M662" s="92"/>
      <c r="O662" s="92"/>
    </row>
    <row r="663" spans="1:15" ht="12.75">
      <c r="A663" s="52"/>
      <c r="B663" s="52"/>
      <c r="C663" s="124" t="s">
        <v>271</v>
      </c>
      <c r="D663" s="94"/>
      <c r="E663" s="94"/>
      <c r="G663" s="96"/>
      <c r="J663" s="126"/>
      <c r="L663" s="92"/>
      <c r="M663" s="92">
        <f aca="true" t="shared" si="32" ref="M663:M694">H663-(I663+J663+K663+L663)</f>
        <v>0</v>
      </c>
      <c r="O663" s="92"/>
    </row>
    <row r="664" spans="1:15" ht="12.75">
      <c r="A664" s="93" t="s">
        <v>212</v>
      </c>
      <c r="C664" s="93" t="s">
        <v>272</v>
      </c>
      <c r="D664" s="96">
        <f>7.6</f>
        <v>7.6</v>
      </c>
      <c r="E664" s="94">
        <f>6.2</f>
        <v>6.2</v>
      </c>
      <c r="F664" s="92">
        <f>47.9</f>
        <v>47.9</v>
      </c>
      <c r="G664" s="96">
        <f aca="true" t="shared" si="33" ref="G664:G673">2*(D664+E664)</f>
        <v>27.6</v>
      </c>
      <c r="H664" s="96">
        <f aca="true" t="shared" si="34" ref="H664:H671">G664*I$652</f>
        <v>93.84</v>
      </c>
      <c r="I664" s="96">
        <f>(D664+E664)*I$652</f>
        <v>46.92</v>
      </c>
      <c r="J664" s="96"/>
      <c r="K664" s="131">
        <f aca="true" t="shared" si="35" ref="K664:K671">H664-(I664+J664)</f>
        <v>46.92</v>
      </c>
      <c r="L664" s="132"/>
      <c r="M664" s="92">
        <f t="shared" si="32"/>
        <v>0</v>
      </c>
      <c r="O664" s="92"/>
    </row>
    <row r="665" spans="1:15" ht="12.75">
      <c r="A665" s="93" t="s">
        <v>214</v>
      </c>
      <c r="C665" s="133" t="s">
        <v>273</v>
      </c>
      <c r="D665" s="134">
        <f>6.2</f>
        <v>6.2</v>
      </c>
      <c r="E665" s="135">
        <f>4</f>
        <v>4</v>
      </c>
      <c r="F665" s="92">
        <f>25.2</f>
        <v>25.2</v>
      </c>
      <c r="G665" s="96">
        <f t="shared" si="33"/>
        <v>20.4</v>
      </c>
      <c r="H665" s="134">
        <f t="shared" si="34"/>
        <v>69.36</v>
      </c>
      <c r="I665" s="134">
        <f>(D665+E665)*I$652</f>
        <v>34.68</v>
      </c>
      <c r="J665" s="96"/>
      <c r="K665" s="131">
        <f t="shared" si="35"/>
        <v>34.68</v>
      </c>
      <c r="L665" s="132"/>
      <c r="M665" s="92">
        <f t="shared" si="32"/>
        <v>0</v>
      </c>
      <c r="O665" s="92"/>
    </row>
    <row r="666" spans="1:15" ht="12.75">
      <c r="A666" s="93" t="s">
        <v>216</v>
      </c>
      <c r="C666" s="93" t="s">
        <v>274</v>
      </c>
      <c r="D666" s="96">
        <f>F666/E666</f>
        <v>4.7</v>
      </c>
      <c r="E666" s="94">
        <f>3</f>
        <v>3</v>
      </c>
      <c r="F666" s="92">
        <f>14.1</f>
        <v>14.1</v>
      </c>
      <c r="G666" s="96">
        <f t="shared" si="33"/>
        <v>15.4</v>
      </c>
      <c r="H666" s="96">
        <f t="shared" si="34"/>
        <v>52.36</v>
      </c>
      <c r="I666" s="96">
        <f>(E666)*I$652</f>
        <v>10.2</v>
      </c>
      <c r="J666" s="96"/>
      <c r="K666" s="131">
        <f t="shared" si="35"/>
        <v>42.16</v>
      </c>
      <c r="L666" s="132"/>
      <c r="M666" s="92">
        <f t="shared" si="32"/>
        <v>0</v>
      </c>
      <c r="O666" s="92"/>
    </row>
    <row r="667" spans="1:15" ht="12.75">
      <c r="A667" s="93" t="s">
        <v>217</v>
      </c>
      <c r="C667" s="93" t="s">
        <v>274</v>
      </c>
      <c r="D667" s="96">
        <f>F667/E667</f>
        <v>4.7</v>
      </c>
      <c r="E667" s="94">
        <f>3</f>
        <v>3</v>
      </c>
      <c r="F667" s="92">
        <f>14.1</f>
        <v>14.1</v>
      </c>
      <c r="G667" s="96">
        <f t="shared" si="33"/>
        <v>15.4</v>
      </c>
      <c r="H667" s="96">
        <f t="shared" si="34"/>
        <v>52.36</v>
      </c>
      <c r="I667" s="96">
        <f>(E667)*I$652</f>
        <v>10.2</v>
      </c>
      <c r="J667" s="96"/>
      <c r="K667" s="131">
        <f t="shared" si="35"/>
        <v>42.16</v>
      </c>
      <c r="L667" s="132"/>
      <c r="M667" s="92">
        <f t="shared" si="32"/>
        <v>0</v>
      </c>
      <c r="O667" s="92"/>
    </row>
    <row r="668" spans="1:15" ht="12.75">
      <c r="A668" s="93" t="s">
        <v>219</v>
      </c>
      <c r="C668" s="93" t="s">
        <v>274</v>
      </c>
      <c r="D668" s="96">
        <f>F668/E668</f>
        <v>4.7</v>
      </c>
      <c r="E668" s="94">
        <f>3</f>
        <v>3</v>
      </c>
      <c r="F668" s="92">
        <f>14.1</f>
        <v>14.1</v>
      </c>
      <c r="G668" s="96">
        <f t="shared" si="33"/>
        <v>15.4</v>
      </c>
      <c r="H668" s="96">
        <f t="shared" si="34"/>
        <v>52.36</v>
      </c>
      <c r="I668" s="96">
        <f>(E668)*I$652</f>
        <v>10.2</v>
      </c>
      <c r="J668" s="96"/>
      <c r="K668" s="131">
        <f t="shared" si="35"/>
        <v>42.16</v>
      </c>
      <c r="L668" s="132"/>
      <c r="M668" s="92">
        <f t="shared" si="32"/>
        <v>0</v>
      </c>
      <c r="O668" s="92"/>
    </row>
    <row r="669" spans="1:15" ht="12.75">
      <c r="A669" s="93" t="s">
        <v>275</v>
      </c>
      <c r="C669" s="93" t="s">
        <v>274</v>
      </c>
      <c r="D669" s="96">
        <f>F669/E669</f>
        <v>4.7</v>
      </c>
      <c r="E669" s="94">
        <f>3</f>
        <v>3</v>
      </c>
      <c r="F669" s="92">
        <f>14.1</f>
        <v>14.1</v>
      </c>
      <c r="G669" s="96">
        <f t="shared" si="33"/>
        <v>15.4</v>
      </c>
      <c r="H669" s="96">
        <f t="shared" si="34"/>
        <v>52.36</v>
      </c>
      <c r="I669" s="96">
        <f>(E669)*I$652</f>
        <v>10.2</v>
      </c>
      <c r="J669" s="96"/>
      <c r="K669" s="131">
        <f t="shared" si="35"/>
        <v>42.16</v>
      </c>
      <c r="L669" s="132"/>
      <c r="M669" s="92">
        <f t="shared" si="32"/>
        <v>0</v>
      </c>
      <c r="O669" s="92"/>
    </row>
    <row r="670" spans="1:15" ht="12.75">
      <c r="A670" s="93" t="s">
        <v>276</v>
      </c>
      <c r="C670" s="93" t="s">
        <v>277</v>
      </c>
      <c r="D670" s="96">
        <f>4.7</f>
        <v>4.7</v>
      </c>
      <c r="E670" s="94">
        <f>4</f>
        <v>4</v>
      </c>
      <c r="F670" s="92">
        <f>17.85</f>
        <v>17.85</v>
      </c>
      <c r="G670" s="96">
        <f t="shared" si="33"/>
        <v>17.4</v>
      </c>
      <c r="H670" s="96">
        <f t="shared" si="34"/>
        <v>59.16</v>
      </c>
      <c r="I670" s="96">
        <f>(D670/2+E670)*I$652</f>
        <v>21.59</v>
      </c>
      <c r="J670" s="96">
        <f>(E670)*I$652</f>
        <v>13.6</v>
      </c>
      <c r="K670" s="131">
        <f t="shared" si="35"/>
        <v>23.97</v>
      </c>
      <c r="L670" s="132"/>
      <c r="M670" s="92">
        <f t="shared" si="32"/>
        <v>0</v>
      </c>
      <c r="O670" s="92"/>
    </row>
    <row r="671" spans="1:15" ht="12.75">
      <c r="A671" s="93" t="s">
        <v>278</v>
      </c>
      <c r="C671" s="93" t="s">
        <v>279</v>
      </c>
      <c r="D671" s="96">
        <f>4.7</f>
        <v>4.7</v>
      </c>
      <c r="E671" s="94">
        <f>4</f>
        <v>4</v>
      </c>
      <c r="F671" s="92">
        <f>18.8</f>
        <v>18.8</v>
      </c>
      <c r="G671" s="96">
        <f t="shared" si="33"/>
        <v>17.4</v>
      </c>
      <c r="H671" s="96">
        <f t="shared" si="34"/>
        <v>59.16</v>
      </c>
      <c r="I671" s="96">
        <f>(D671/2+E671)*I$652</f>
        <v>21.59</v>
      </c>
      <c r="J671" s="96">
        <f>(D671/2)*I$652</f>
        <v>7.99</v>
      </c>
      <c r="K671" s="131">
        <f t="shared" si="35"/>
        <v>29.58</v>
      </c>
      <c r="L671" s="132"/>
      <c r="M671" s="92">
        <f t="shared" si="32"/>
        <v>0</v>
      </c>
      <c r="O671" s="92"/>
    </row>
    <row r="672" spans="1:15" ht="12.75">
      <c r="A672" s="93" t="s">
        <v>280</v>
      </c>
      <c r="C672" s="133" t="s">
        <v>148</v>
      </c>
      <c r="D672" s="134">
        <f>2.3</f>
        <v>2.3</v>
      </c>
      <c r="E672" s="135">
        <f>1.3</f>
        <v>1.3</v>
      </c>
      <c r="F672" s="92">
        <f>3</f>
        <v>3</v>
      </c>
      <c r="G672" s="96">
        <f t="shared" si="33"/>
        <v>7.199999999999999</v>
      </c>
      <c r="H672" s="134">
        <f>G672*I$653</f>
        <v>20.159999999999997</v>
      </c>
      <c r="I672" s="134">
        <f>(E672)*I$653</f>
        <v>3.6399999999999997</v>
      </c>
      <c r="J672" s="134">
        <f>(D672)*I$653</f>
        <v>6.4399999999999995</v>
      </c>
      <c r="L672" s="134">
        <f>H672-(I672+J672+K672)</f>
        <v>10.079999999999998</v>
      </c>
      <c r="M672" s="92">
        <f t="shared" si="32"/>
        <v>0</v>
      </c>
      <c r="O672" s="134"/>
    </row>
    <row r="673" spans="1:15" ht="12.75">
      <c r="A673" s="93" t="s">
        <v>281</v>
      </c>
      <c r="C673" s="133" t="s">
        <v>282</v>
      </c>
      <c r="D673" s="151">
        <f>2.375</f>
        <v>2.375</v>
      </c>
      <c r="E673" s="139">
        <f>2.025</f>
        <v>2.025</v>
      </c>
      <c r="F673" s="92">
        <f>4.8</f>
        <v>4.8</v>
      </c>
      <c r="G673" s="96">
        <f t="shared" si="33"/>
        <v>8.8</v>
      </c>
      <c r="H673" s="134">
        <f>G673*I$653</f>
        <v>24.64</v>
      </c>
      <c r="I673" s="134">
        <f>(E673)*I$653</f>
        <v>5.669999999999999</v>
      </c>
      <c r="J673" s="134">
        <f>(D673)*I$653</f>
        <v>6.6499999999999995</v>
      </c>
      <c r="L673" s="134">
        <f>H673-(I673+J673+K673)</f>
        <v>12.320000000000002</v>
      </c>
      <c r="M673" s="92">
        <f t="shared" si="32"/>
        <v>0</v>
      </c>
      <c r="O673" s="134"/>
    </row>
    <row r="674" spans="1:15" ht="12.75">
      <c r="A674" s="52"/>
      <c r="B674" s="52"/>
      <c r="C674" s="124" t="s">
        <v>283</v>
      </c>
      <c r="D674" s="134"/>
      <c r="E674" s="135"/>
      <c r="G674" s="96"/>
      <c r="H674" s="134"/>
      <c r="I674" s="52"/>
      <c r="J674" s="134"/>
      <c r="L674" s="132"/>
      <c r="M674" s="92">
        <f t="shared" si="32"/>
        <v>0</v>
      </c>
      <c r="O674" s="134"/>
    </row>
    <row r="675" spans="1:15" ht="12.75">
      <c r="A675" s="93" t="s">
        <v>284</v>
      </c>
      <c r="C675" s="93" t="s">
        <v>285</v>
      </c>
      <c r="D675" s="96">
        <f>8.5</f>
        <v>8.5</v>
      </c>
      <c r="E675" s="94">
        <f>3.6</f>
        <v>3.6</v>
      </c>
      <c r="F675" s="92">
        <f>27.65</f>
        <v>27.65</v>
      </c>
      <c r="G675" s="96">
        <f>2*(D675+E675)</f>
        <v>24.2</v>
      </c>
      <c r="H675" s="96">
        <f>G675*I$653</f>
        <v>67.75999999999999</v>
      </c>
      <c r="I675" s="96">
        <f>(E675)*I$653</f>
        <v>10.08</v>
      </c>
      <c r="J675" s="96"/>
      <c r="K675" s="131">
        <f>H675-(I675+J675)</f>
        <v>57.67999999999999</v>
      </c>
      <c r="L675" s="132"/>
      <c r="M675" s="92">
        <f t="shared" si="32"/>
        <v>0</v>
      </c>
      <c r="O675" s="92"/>
    </row>
    <row r="676" spans="1:15" ht="12.75">
      <c r="A676" s="93" t="s">
        <v>286</v>
      </c>
      <c r="C676" s="93" t="s">
        <v>287</v>
      </c>
      <c r="D676" s="96">
        <f>2</f>
        <v>2</v>
      </c>
      <c r="E676" s="94">
        <f>2</f>
        <v>2</v>
      </c>
      <c r="F676" s="92">
        <f>4</f>
        <v>4</v>
      </c>
      <c r="G676" s="96">
        <f>2*(D676+E676)</f>
        <v>8</v>
      </c>
      <c r="H676" s="96">
        <f>G676*I$653</f>
        <v>22.4</v>
      </c>
      <c r="I676" s="96">
        <f>(E676)*I$653</f>
        <v>5.6</v>
      </c>
      <c r="J676" s="96">
        <f>(D676+E676)*I$653</f>
        <v>11.2</v>
      </c>
      <c r="K676" s="131">
        <f>H676-(I676+J676)</f>
        <v>5.600000000000001</v>
      </c>
      <c r="L676" s="132"/>
      <c r="M676" s="92">
        <f t="shared" si="32"/>
        <v>0</v>
      </c>
      <c r="O676" s="92"/>
    </row>
    <row r="677" spans="1:15" ht="12.75">
      <c r="A677" s="93" t="s">
        <v>288</v>
      </c>
      <c r="C677" s="93" t="s">
        <v>287</v>
      </c>
      <c r="D677" s="96">
        <f>2</f>
        <v>2</v>
      </c>
      <c r="E677" s="141">
        <f>F677/D677</f>
        <v>1.875</v>
      </c>
      <c r="F677" s="92">
        <f>3.75</f>
        <v>3.75</v>
      </c>
      <c r="G677" s="96">
        <f>2*(D677+E677)</f>
        <v>7.75</v>
      </c>
      <c r="H677" s="96">
        <f>G677*I$653</f>
        <v>21.7</v>
      </c>
      <c r="J677" s="96">
        <f>(D677+E677)*I$653</f>
        <v>10.85</v>
      </c>
      <c r="K677" s="131">
        <f>H677-(I677+J677)</f>
        <v>10.85</v>
      </c>
      <c r="L677" s="132"/>
      <c r="M677" s="92">
        <f t="shared" si="32"/>
        <v>0</v>
      </c>
      <c r="O677" s="92"/>
    </row>
    <row r="678" spans="1:15" ht="12.75">
      <c r="A678" s="52"/>
      <c r="B678" s="52"/>
      <c r="C678" s="124" t="s">
        <v>289</v>
      </c>
      <c r="D678" s="125"/>
      <c r="E678" s="94"/>
      <c r="J678" s="126"/>
      <c r="L678" s="132"/>
      <c r="M678" s="92">
        <f t="shared" si="32"/>
        <v>0</v>
      </c>
      <c r="O678" s="92"/>
    </row>
    <row r="679" spans="1:15" ht="12.75">
      <c r="A679" s="93" t="s">
        <v>290</v>
      </c>
      <c r="C679" s="133" t="s">
        <v>291</v>
      </c>
      <c r="D679" s="134">
        <f>4.32</f>
        <v>4.32</v>
      </c>
      <c r="E679" s="139">
        <f>2.825</f>
        <v>2.825</v>
      </c>
      <c r="F679" s="92">
        <f>12.2</f>
        <v>12.2</v>
      </c>
      <c r="G679" s="96">
        <f aca="true" t="shared" si="36" ref="G679:G712">2*(D679+E679)</f>
        <v>14.290000000000001</v>
      </c>
      <c r="H679" s="134">
        <f aca="true" t="shared" si="37" ref="H679:H712">G679*I$653</f>
        <v>40.012</v>
      </c>
      <c r="I679" s="134">
        <f>(E679)*I$653</f>
        <v>7.91</v>
      </c>
      <c r="J679" s="134">
        <f>(D679)*I$653</f>
        <v>12.096</v>
      </c>
      <c r="K679" s="131"/>
      <c r="L679" s="134">
        <f>H679-(I679+J679+K679)</f>
        <v>20.006</v>
      </c>
      <c r="M679" s="92">
        <f t="shared" si="32"/>
        <v>0</v>
      </c>
      <c r="O679" s="92"/>
    </row>
    <row r="680" spans="1:15" ht="12.75">
      <c r="A680" s="93" t="s">
        <v>292</v>
      </c>
      <c r="C680" s="93" t="s">
        <v>293</v>
      </c>
      <c r="D680" s="96">
        <f>7.5</f>
        <v>7.5</v>
      </c>
      <c r="E680" s="94">
        <f>4.5</f>
        <v>4.5</v>
      </c>
      <c r="F680" s="92">
        <f>26.6</f>
        <v>26.6</v>
      </c>
      <c r="G680" s="96">
        <f t="shared" si="36"/>
        <v>24</v>
      </c>
      <c r="H680" s="96">
        <f t="shared" si="37"/>
        <v>67.19999999999999</v>
      </c>
      <c r="I680" s="96">
        <f>(D680/2+E680)*I$653</f>
        <v>23.099999999999998</v>
      </c>
      <c r="J680" s="96">
        <f>(D680*1.5+E680)*I$653</f>
        <v>44.099999999999994</v>
      </c>
      <c r="K680" s="131">
        <f>H680-(I680+J680)</f>
        <v>0</v>
      </c>
      <c r="L680" s="132"/>
      <c r="M680" s="92">
        <f t="shared" si="32"/>
        <v>0</v>
      </c>
      <c r="O680" s="92"/>
    </row>
    <row r="681" spans="1:15" ht="12.75">
      <c r="A681" s="93" t="s">
        <v>294</v>
      </c>
      <c r="C681" s="133" t="s">
        <v>179</v>
      </c>
      <c r="D681" s="134">
        <f>2.85</f>
        <v>2.85</v>
      </c>
      <c r="E681" s="135">
        <f>2.2</f>
        <v>2.2</v>
      </c>
      <c r="F681" s="92">
        <f>6.25</f>
        <v>6.25</v>
      </c>
      <c r="G681" s="96">
        <f t="shared" si="36"/>
        <v>10.100000000000001</v>
      </c>
      <c r="H681" s="134">
        <f t="shared" si="37"/>
        <v>28.28</v>
      </c>
      <c r="I681" s="52"/>
      <c r="J681" s="134">
        <f>(D681+E681)*I$653</f>
        <v>14.14</v>
      </c>
      <c r="L681" s="134">
        <f>H681-(I681+J681+K681)</f>
        <v>14.14</v>
      </c>
      <c r="M681" s="92">
        <f t="shared" si="32"/>
        <v>0</v>
      </c>
      <c r="O681" s="134"/>
    </row>
    <row r="682" spans="1:15" ht="12.75">
      <c r="A682" s="93" t="s">
        <v>295</v>
      </c>
      <c r="C682" s="93" t="s">
        <v>293</v>
      </c>
      <c r="D682" s="96">
        <f>7.5</f>
        <v>7.5</v>
      </c>
      <c r="E682" s="94">
        <f>4.5</f>
        <v>4.5</v>
      </c>
      <c r="F682" s="92">
        <f>29.45</f>
        <v>29.45</v>
      </c>
      <c r="G682" s="96">
        <f t="shared" si="36"/>
        <v>24</v>
      </c>
      <c r="H682" s="96">
        <f t="shared" si="37"/>
        <v>67.19999999999999</v>
      </c>
      <c r="I682" s="96">
        <f>(E682)*I$653</f>
        <v>12.6</v>
      </c>
      <c r="J682" s="96">
        <f>(D682+D682)*I$653</f>
        <v>42</v>
      </c>
      <c r="K682" s="131">
        <f>H682-(I682+J682)</f>
        <v>12.599999999999987</v>
      </c>
      <c r="L682" s="132"/>
      <c r="M682" s="92">
        <f t="shared" si="32"/>
        <v>0</v>
      </c>
      <c r="O682" s="92"/>
    </row>
    <row r="683" spans="1:15" ht="12.75">
      <c r="A683" s="93" t="s">
        <v>296</v>
      </c>
      <c r="C683" s="133" t="s">
        <v>179</v>
      </c>
      <c r="D683" s="151">
        <f>2.225</f>
        <v>2.225</v>
      </c>
      <c r="E683" s="135">
        <f>1.8</f>
        <v>1.8</v>
      </c>
      <c r="F683" s="92">
        <f>4</f>
        <v>4</v>
      </c>
      <c r="G683" s="96">
        <f t="shared" si="36"/>
        <v>8.05</v>
      </c>
      <c r="H683" s="134">
        <f t="shared" si="37"/>
        <v>22.54</v>
      </c>
      <c r="I683" s="52"/>
      <c r="J683" s="134">
        <f>(D683+E683)*I$653</f>
        <v>11.27</v>
      </c>
      <c r="L683" s="134">
        <f>H683-(I683+J683+K683)</f>
        <v>11.27</v>
      </c>
      <c r="M683" s="92">
        <f t="shared" si="32"/>
        <v>0</v>
      </c>
      <c r="O683" s="134"/>
    </row>
    <row r="684" spans="1:15" ht="12.75">
      <c r="A684" s="93" t="s">
        <v>297</v>
      </c>
      <c r="C684" s="93" t="s">
        <v>298</v>
      </c>
      <c r="D684" s="96">
        <f>6.35</f>
        <v>6.35</v>
      </c>
      <c r="E684" s="94">
        <f>4.55</f>
        <v>4.55</v>
      </c>
      <c r="F684" s="92">
        <f>24</f>
        <v>24</v>
      </c>
      <c r="G684" s="96">
        <f t="shared" si="36"/>
        <v>21.799999999999997</v>
      </c>
      <c r="H684" s="96">
        <f t="shared" si="37"/>
        <v>61.039999999999985</v>
      </c>
      <c r="I684" s="96">
        <f>(E684)*I$653</f>
        <v>12.739999999999998</v>
      </c>
      <c r="J684" s="96">
        <f>(D684+D684)*I$653</f>
        <v>35.559999999999995</v>
      </c>
      <c r="K684" s="131">
        <f>H684-(I684+J684)</f>
        <v>12.739999999999988</v>
      </c>
      <c r="L684" s="132"/>
      <c r="M684" s="92">
        <f t="shared" si="32"/>
        <v>0</v>
      </c>
      <c r="O684" s="92"/>
    </row>
    <row r="685" spans="1:15" ht="12.75">
      <c r="A685" s="93" t="s">
        <v>299</v>
      </c>
      <c r="C685" s="133" t="s">
        <v>179</v>
      </c>
      <c r="D685" s="151">
        <f>2.225</f>
        <v>2.225</v>
      </c>
      <c r="E685" s="135">
        <f>1.8</f>
        <v>1.8</v>
      </c>
      <c r="F685" s="92">
        <f>4</f>
        <v>4</v>
      </c>
      <c r="G685" s="96">
        <f t="shared" si="36"/>
        <v>8.05</v>
      </c>
      <c r="H685" s="134">
        <f t="shared" si="37"/>
        <v>22.54</v>
      </c>
      <c r="I685" s="52"/>
      <c r="J685" s="134">
        <f>(D685+E685)*I$653</f>
        <v>11.27</v>
      </c>
      <c r="L685" s="134">
        <f>H685-(I685+J685+K685)</f>
        <v>11.27</v>
      </c>
      <c r="M685" s="92">
        <f t="shared" si="32"/>
        <v>0</v>
      </c>
      <c r="O685" s="134"/>
    </row>
    <row r="686" spans="1:15" ht="12.75">
      <c r="A686" s="93" t="s">
        <v>300</v>
      </c>
      <c r="C686" s="93" t="s">
        <v>298</v>
      </c>
      <c r="D686" s="96">
        <f>6.35</f>
        <v>6.35</v>
      </c>
      <c r="E686" s="94">
        <f>4.5</f>
        <v>4.5</v>
      </c>
      <c r="F686" s="92">
        <f>24</f>
        <v>24</v>
      </c>
      <c r="G686" s="96">
        <f t="shared" si="36"/>
        <v>21.7</v>
      </c>
      <c r="H686" s="96">
        <f t="shared" si="37"/>
        <v>60.75999999999999</v>
      </c>
      <c r="I686" s="96">
        <f>(E686)*I$653</f>
        <v>12.6</v>
      </c>
      <c r="J686" s="96">
        <f>(D686+D686)*I$653</f>
        <v>35.559999999999995</v>
      </c>
      <c r="K686" s="131">
        <f>H686-(I686+J686)</f>
        <v>12.599999999999994</v>
      </c>
      <c r="L686" s="132"/>
      <c r="M686" s="92">
        <f t="shared" si="32"/>
        <v>0</v>
      </c>
      <c r="O686" s="92"/>
    </row>
    <row r="687" spans="1:15" ht="12.75">
      <c r="A687" s="93" t="s">
        <v>301</v>
      </c>
      <c r="C687" s="133" t="s">
        <v>179</v>
      </c>
      <c r="D687" s="151">
        <f>2.225</f>
        <v>2.225</v>
      </c>
      <c r="E687" s="135">
        <f>1.8</f>
        <v>1.8</v>
      </c>
      <c r="F687" s="92">
        <f>4</f>
        <v>4</v>
      </c>
      <c r="G687" s="96">
        <f t="shared" si="36"/>
        <v>8.05</v>
      </c>
      <c r="H687" s="134">
        <f t="shared" si="37"/>
        <v>22.54</v>
      </c>
      <c r="I687" s="52"/>
      <c r="J687" s="134">
        <f>(D687+E687)*I$653</f>
        <v>11.27</v>
      </c>
      <c r="L687" s="134">
        <f>H687-(I687+J687+K687)</f>
        <v>11.27</v>
      </c>
      <c r="M687" s="92">
        <f t="shared" si="32"/>
        <v>0</v>
      </c>
      <c r="O687" s="134"/>
    </row>
    <row r="688" spans="1:15" ht="12.75">
      <c r="A688" s="93" t="s">
        <v>302</v>
      </c>
      <c r="C688" s="93" t="s">
        <v>298</v>
      </c>
      <c r="D688" s="96">
        <f>6.35</f>
        <v>6.35</v>
      </c>
      <c r="E688" s="94">
        <f>4.5</f>
        <v>4.5</v>
      </c>
      <c r="F688" s="92">
        <f>24</f>
        <v>24</v>
      </c>
      <c r="G688" s="96">
        <f t="shared" si="36"/>
        <v>21.7</v>
      </c>
      <c r="H688" s="96">
        <f t="shared" si="37"/>
        <v>60.75999999999999</v>
      </c>
      <c r="I688" s="96">
        <f>(E688)*I$653</f>
        <v>12.6</v>
      </c>
      <c r="J688" s="96">
        <f>(D688+D688)*I$653</f>
        <v>35.559999999999995</v>
      </c>
      <c r="K688" s="131">
        <f>H688-(I688+J688)</f>
        <v>12.599999999999994</v>
      </c>
      <c r="L688" s="132"/>
      <c r="M688" s="92">
        <f t="shared" si="32"/>
        <v>0</v>
      </c>
      <c r="O688" s="92"/>
    </row>
    <row r="689" spans="1:15" ht="12.75">
      <c r="A689" s="93" t="s">
        <v>303</v>
      </c>
      <c r="C689" s="133" t="s">
        <v>179</v>
      </c>
      <c r="D689" s="151">
        <f>2.225</f>
        <v>2.225</v>
      </c>
      <c r="E689" s="135">
        <f>1.8</f>
        <v>1.8</v>
      </c>
      <c r="F689" s="92">
        <f>4</f>
        <v>4</v>
      </c>
      <c r="G689" s="96">
        <f t="shared" si="36"/>
        <v>8.05</v>
      </c>
      <c r="H689" s="134">
        <f t="shared" si="37"/>
        <v>22.54</v>
      </c>
      <c r="I689" s="52"/>
      <c r="J689" s="134">
        <f>(D689+E689)*I$653</f>
        <v>11.27</v>
      </c>
      <c r="L689" s="134">
        <f>H689-(I689+J689+K689)</f>
        <v>11.27</v>
      </c>
      <c r="M689" s="92">
        <f t="shared" si="32"/>
        <v>0</v>
      </c>
      <c r="O689" s="134"/>
    </row>
    <row r="690" spans="1:15" ht="12.75">
      <c r="A690" s="93" t="s">
        <v>304</v>
      </c>
      <c r="C690" s="93" t="s">
        <v>298</v>
      </c>
      <c r="D690" s="96">
        <f>6.35</f>
        <v>6.35</v>
      </c>
      <c r="E690" s="94">
        <f>4.5</f>
        <v>4.5</v>
      </c>
      <c r="F690" s="92">
        <f>24</f>
        <v>24</v>
      </c>
      <c r="G690" s="96">
        <f t="shared" si="36"/>
        <v>21.7</v>
      </c>
      <c r="H690" s="96">
        <f t="shared" si="37"/>
        <v>60.75999999999999</v>
      </c>
      <c r="I690" s="96">
        <f>(E690)*I$653</f>
        <v>12.6</v>
      </c>
      <c r="J690" s="96">
        <f>(D690+D690)*I$653</f>
        <v>35.559999999999995</v>
      </c>
      <c r="K690" s="131">
        <f>H690-(I690+J690)</f>
        <v>12.599999999999994</v>
      </c>
      <c r="L690" s="132"/>
      <c r="M690" s="92">
        <f t="shared" si="32"/>
        <v>0</v>
      </c>
      <c r="O690" s="92"/>
    </row>
    <row r="691" spans="1:15" ht="12.75">
      <c r="A691" s="93" t="s">
        <v>305</v>
      </c>
      <c r="C691" s="133" t="s">
        <v>179</v>
      </c>
      <c r="D691" s="151">
        <f>2.225</f>
        <v>2.225</v>
      </c>
      <c r="E691" s="135">
        <f>1.8</f>
        <v>1.8</v>
      </c>
      <c r="F691" s="92">
        <f>4</f>
        <v>4</v>
      </c>
      <c r="G691" s="96">
        <f t="shared" si="36"/>
        <v>8.05</v>
      </c>
      <c r="H691" s="134">
        <f t="shared" si="37"/>
        <v>22.54</v>
      </c>
      <c r="I691" s="52"/>
      <c r="J691" s="134">
        <f>(D691+E691)*I$653</f>
        <v>11.27</v>
      </c>
      <c r="L691" s="134">
        <f>H691-(I691+J691+K691)</f>
        <v>11.27</v>
      </c>
      <c r="M691" s="92">
        <f t="shared" si="32"/>
        <v>0</v>
      </c>
      <c r="O691" s="134"/>
    </row>
    <row r="692" spans="1:15" ht="12.75">
      <c r="A692" s="93" t="s">
        <v>306</v>
      </c>
      <c r="C692" s="93" t="s">
        <v>307</v>
      </c>
      <c r="D692" s="96">
        <f>6.35</f>
        <v>6.35</v>
      </c>
      <c r="E692" s="141">
        <f>2.925</f>
        <v>2.925</v>
      </c>
      <c r="F692" s="92">
        <f>14.75</f>
        <v>14.75</v>
      </c>
      <c r="G692" s="96">
        <f t="shared" si="36"/>
        <v>18.549999999999997</v>
      </c>
      <c r="H692" s="96">
        <f t="shared" si="37"/>
        <v>51.93999999999999</v>
      </c>
      <c r="I692" s="96">
        <f>(D692+E692)*I$653</f>
        <v>25.969999999999995</v>
      </c>
      <c r="J692" s="96">
        <f>(D692+E692)*I$653</f>
        <v>25.969999999999995</v>
      </c>
      <c r="K692" s="131">
        <f>H692-(I692+J692)</f>
        <v>0</v>
      </c>
      <c r="L692" s="132"/>
      <c r="M692" s="92">
        <f t="shared" si="32"/>
        <v>0</v>
      </c>
      <c r="O692" s="92"/>
    </row>
    <row r="693" spans="1:15" ht="12.75">
      <c r="A693" s="93" t="s">
        <v>308</v>
      </c>
      <c r="C693" s="133" t="s">
        <v>179</v>
      </c>
      <c r="D693" s="151">
        <f>2.225</f>
        <v>2.225</v>
      </c>
      <c r="E693" s="135">
        <f>1.4</f>
        <v>1.4</v>
      </c>
      <c r="F693" s="92">
        <f>3.1</f>
        <v>3.1</v>
      </c>
      <c r="G693" s="96">
        <f t="shared" si="36"/>
        <v>7.25</v>
      </c>
      <c r="H693" s="134">
        <f t="shared" si="37"/>
        <v>20.299999999999997</v>
      </c>
      <c r="I693" s="52"/>
      <c r="J693" s="134">
        <f>(D693+E693)*I$653</f>
        <v>10.149999999999999</v>
      </c>
      <c r="L693" s="134">
        <f>H693-(I693+J693+K693)</f>
        <v>10.149999999999999</v>
      </c>
      <c r="M693" s="92">
        <f t="shared" si="32"/>
        <v>0</v>
      </c>
      <c r="O693" s="134"/>
    </row>
    <row r="694" spans="1:15" ht="12.75">
      <c r="A694" s="93" t="s">
        <v>309</v>
      </c>
      <c r="C694" s="93" t="s">
        <v>310</v>
      </c>
      <c r="D694" s="96">
        <f>6.35</f>
        <v>6.35</v>
      </c>
      <c r="E694" s="141">
        <f>2.925</f>
        <v>2.925</v>
      </c>
      <c r="F694" s="92">
        <f>14.75</f>
        <v>14.75</v>
      </c>
      <c r="G694" s="96">
        <f t="shared" si="36"/>
        <v>18.549999999999997</v>
      </c>
      <c r="H694" s="96">
        <f t="shared" si="37"/>
        <v>51.93999999999999</v>
      </c>
      <c r="I694" s="96">
        <f>(E694)*I$653</f>
        <v>8.19</v>
      </c>
      <c r="J694" s="96">
        <f>(D694+D694)*I$653</f>
        <v>35.559999999999995</v>
      </c>
      <c r="K694" s="131">
        <f>H694-(I694+J694)</f>
        <v>8.189999999999998</v>
      </c>
      <c r="L694" s="132"/>
      <c r="M694" s="92">
        <f t="shared" si="32"/>
        <v>0</v>
      </c>
      <c r="O694" s="92"/>
    </row>
    <row r="695" spans="1:15" ht="12.75">
      <c r="A695" s="93" t="s">
        <v>311</v>
      </c>
      <c r="C695" s="133" t="s">
        <v>179</v>
      </c>
      <c r="D695" s="151">
        <f>2.225</f>
        <v>2.225</v>
      </c>
      <c r="E695" s="135">
        <f>1.4</f>
        <v>1.4</v>
      </c>
      <c r="F695" s="92">
        <f>3.1</f>
        <v>3.1</v>
      </c>
      <c r="G695" s="96">
        <f t="shared" si="36"/>
        <v>7.25</v>
      </c>
      <c r="H695" s="134">
        <f t="shared" si="37"/>
        <v>20.299999999999997</v>
      </c>
      <c r="I695" s="52"/>
      <c r="J695" s="134">
        <f>(D695+E695)*I$653</f>
        <v>10.149999999999999</v>
      </c>
      <c r="L695" s="134">
        <f>H695-(I695+J695+K695)</f>
        <v>10.149999999999999</v>
      </c>
      <c r="M695" s="92">
        <f aca="true" t="shared" si="38" ref="M695:M726">H695-(I695+J695+K695+L695)</f>
        <v>0</v>
      </c>
      <c r="O695" s="134"/>
    </row>
    <row r="696" spans="1:15" ht="12.75">
      <c r="A696" s="93" t="s">
        <v>312</v>
      </c>
      <c r="C696" s="93" t="s">
        <v>307</v>
      </c>
      <c r="D696" s="96">
        <f>6.35</f>
        <v>6.35</v>
      </c>
      <c r="E696" s="141">
        <f>2.925</f>
        <v>2.925</v>
      </c>
      <c r="F696" s="92">
        <f>14.75</f>
        <v>14.75</v>
      </c>
      <c r="G696" s="96">
        <f t="shared" si="36"/>
        <v>18.549999999999997</v>
      </c>
      <c r="H696" s="96">
        <f t="shared" si="37"/>
        <v>51.93999999999999</v>
      </c>
      <c r="I696" s="96">
        <f>(E696)*I$653</f>
        <v>8.19</v>
      </c>
      <c r="J696" s="96">
        <f>(D696+D696)*I$653</f>
        <v>35.559999999999995</v>
      </c>
      <c r="K696" s="131">
        <f>H696-(I696+J696)</f>
        <v>8.189999999999998</v>
      </c>
      <c r="L696" s="132"/>
      <c r="M696" s="92">
        <f t="shared" si="38"/>
        <v>0</v>
      </c>
      <c r="O696" s="92"/>
    </row>
    <row r="697" spans="1:15" ht="12.75">
      <c r="A697" s="93" t="s">
        <v>313</v>
      </c>
      <c r="C697" s="133" t="s">
        <v>179</v>
      </c>
      <c r="D697" s="151">
        <f>2.225</f>
        <v>2.225</v>
      </c>
      <c r="E697" s="135">
        <f>1.4</f>
        <v>1.4</v>
      </c>
      <c r="F697" s="92">
        <f>3.1</f>
        <v>3.1</v>
      </c>
      <c r="G697" s="96">
        <f t="shared" si="36"/>
        <v>7.25</v>
      </c>
      <c r="H697" s="134">
        <f t="shared" si="37"/>
        <v>20.299999999999997</v>
      </c>
      <c r="I697" s="52"/>
      <c r="J697" s="134">
        <f>(D697+E697)*I$653</f>
        <v>10.149999999999999</v>
      </c>
      <c r="L697" s="134">
        <f>H697-(I697+J697+K697)</f>
        <v>10.149999999999999</v>
      </c>
      <c r="M697" s="92">
        <f t="shared" si="38"/>
        <v>0</v>
      </c>
      <c r="O697" s="134"/>
    </row>
    <row r="698" spans="1:15" ht="12.75">
      <c r="A698" s="93" t="s">
        <v>314</v>
      </c>
      <c r="C698" s="93" t="s">
        <v>310</v>
      </c>
      <c r="D698" s="96">
        <f>6.35</f>
        <v>6.35</v>
      </c>
      <c r="E698" s="141">
        <f>2.925</f>
        <v>2.925</v>
      </c>
      <c r="F698" s="92">
        <f>14.75</f>
        <v>14.75</v>
      </c>
      <c r="G698" s="96">
        <f t="shared" si="36"/>
        <v>18.549999999999997</v>
      </c>
      <c r="H698" s="96">
        <f t="shared" si="37"/>
        <v>51.93999999999999</v>
      </c>
      <c r="I698" s="96">
        <f>(E698)*I$653</f>
        <v>8.19</v>
      </c>
      <c r="J698" s="96">
        <f>(D698+D698)*I$653</f>
        <v>35.559999999999995</v>
      </c>
      <c r="K698" s="131">
        <f>H698-(I698+J698)</f>
        <v>8.189999999999998</v>
      </c>
      <c r="L698" s="132"/>
      <c r="M698" s="92">
        <f t="shared" si="38"/>
        <v>0</v>
      </c>
      <c r="O698" s="92"/>
    </row>
    <row r="699" spans="1:15" ht="12.75">
      <c r="A699" s="93" t="s">
        <v>315</v>
      </c>
      <c r="C699" s="133" t="s">
        <v>179</v>
      </c>
      <c r="D699" s="151">
        <f>2.225</f>
        <v>2.225</v>
      </c>
      <c r="E699" s="135">
        <f>1.4</f>
        <v>1.4</v>
      </c>
      <c r="F699" s="92">
        <f>3.1</f>
        <v>3.1</v>
      </c>
      <c r="G699" s="96">
        <f t="shared" si="36"/>
        <v>7.25</v>
      </c>
      <c r="H699" s="134">
        <f t="shared" si="37"/>
        <v>20.299999999999997</v>
      </c>
      <c r="I699" s="52"/>
      <c r="J699" s="134">
        <f>(D699+E699)*I$653</f>
        <v>10.149999999999999</v>
      </c>
      <c r="L699" s="134">
        <f>H699-(I699+J699+K699)</f>
        <v>10.149999999999999</v>
      </c>
      <c r="M699" s="92">
        <f t="shared" si="38"/>
        <v>0</v>
      </c>
      <c r="O699" s="134"/>
    </row>
    <row r="700" spans="1:15" ht="12.75">
      <c r="A700" s="93" t="s">
        <v>316</v>
      </c>
      <c r="C700" s="93" t="s">
        <v>310</v>
      </c>
      <c r="D700" s="96">
        <f>6.35</f>
        <v>6.35</v>
      </c>
      <c r="E700" s="141">
        <f>2.925</f>
        <v>2.925</v>
      </c>
      <c r="F700" s="92">
        <f>13.6</f>
        <v>13.6</v>
      </c>
      <c r="G700" s="96">
        <f t="shared" si="36"/>
        <v>18.549999999999997</v>
      </c>
      <c r="H700" s="96">
        <f t="shared" si="37"/>
        <v>51.93999999999999</v>
      </c>
      <c r="I700" s="96">
        <f>(E700)*I$653</f>
        <v>8.19</v>
      </c>
      <c r="J700" s="96">
        <f>(D700+D700)*I$653</f>
        <v>35.559999999999995</v>
      </c>
      <c r="K700" s="131">
        <f>H700-(I700+J700)</f>
        <v>8.189999999999998</v>
      </c>
      <c r="L700" s="132"/>
      <c r="M700" s="92">
        <f t="shared" si="38"/>
        <v>0</v>
      </c>
      <c r="O700" s="92"/>
    </row>
    <row r="701" spans="1:15" ht="12.75">
      <c r="A701" s="93" t="s">
        <v>317</v>
      </c>
      <c r="C701" s="133" t="s">
        <v>179</v>
      </c>
      <c r="D701" s="151">
        <f>2.225</f>
        <v>2.225</v>
      </c>
      <c r="E701" s="135">
        <f>1.4</f>
        <v>1.4</v>
      </c>
      <c r="F701" s="92">
        <f>3.1</f>
        <v>3.1</v>
      </c>
      <c r="G701" s="96">
        <f t="shared" si="36"/>
        <v>7.25</v>
      </c>
      <c r="H701" s="134">
        <f t="shared" si="37"/>
        <v>20.299999999999997</v>
      </c>
      <c r="I701" s="52"/>
      <c r="J701" s="134">
        <f>(D701+E701)*I$653</f>
        <v>10.149999999999999</v>
      </c>
      <c r="L701" s="134">
        <f>H701-(I701+J701+K701)</f>
        <v>10.149999999999999</v>
      </c>
      <c r="M701" s="92">
        <f t="shared" si="38"/>
        <v>0</v>
      </c>
      <c r="O701" s="134"/>
    </row>
    <row r="702" spans="1:15" ht="12.75">
      <c r="A702" s="93" t="s">
        <v>318</v>
      </c>
      <c r="C702" s="93" t="s">
        <v>310</v>
      </c>
      <c r="D702" s="96">
        <f>6.35</f>
        <v>6.35</v>
      </c>
      <c r="E702" s="141">
        <f>2.925</f>
        <v>2.925</v>
      </c>
      <c r="F702" s="92">
        <f>13.6</f>
        <v>13.6</v>
      </c>
      <c r="G702" s="96">
        <f t="shared" si="36"/>
        <v>18.549999999999997</v>
      </c>
      <c r="H702" s="96">
        <f t="shared" si="37"/>
        <v>51.93999999999999</v>
      </c>
      <c r="I702" s="96">
        <f>(E702)*I$653</f>
        <v>8.19</v>
      </c>
      <c r="J702" s="96">
        <f>(D702+D702)*I$653</f>
        <v>35.559999999999995</v>
      </c>
      <c r="K702" s="131">
        <f>H702-(I702+J702)</f>
        <v>8.189999999999998</v>
      </c>
      <c r="L702" s="132"/>
      <c r="M702" s="92">
        <f t="shared" si="38"/>
        <v>0</v>
      </c>
      <c r="O702" s="92"/>
    </row>
    <row r="703" spans="1:15" ht="12.75">
      <c r="A703" s="93" t="s">
        <v>319</v>
      </c>
      <c r="C703" s="133" t="s">
        <v>179</v>
      </c>
      <c r="D703" s="151">
        <f>2.225</f>
        <v>2.225</v>
      </c>
      <c r="E703" s="135">
        <f>1.4</f>
        <v>1.4</v>
      </c>
      <c r="F703" s="92">
        <f>3.1</f>
        <v>3.1</v>
      </c>
      <c r="G703" s="96">
        <f t="shared" si="36"/>
        <v>7.25</v>
      </c>
      <c r="H703" s="134">
        <f t="shared" si="37"/>
        <v>20.299999999999997</v>
      </c>
      <c r="I703" s="52"/>
      <c r="J703" s="134">
        <f>(D703+E703)*I$653</f>
        <v>10.149999999999999</v>
      </c>
      <c r="L703" s="134">
        <f>H703-(I703+J703+K703)</f>
        <v>10.149999999999999</v>
      </c>
      <c r="M703" s="92">
        <f t="shared" si="38"/>
        <v>0</v>
      </c>
      <c r="O703" s="134"/>
    </row>
    <row r="704" spans="1:15" ht="12.75">
      <c r="A704" s="93" t="s">
        <v>320</v>
      </c>
      <c r="C704" s="93" t="s">
        <v>307</v>
      </c>
      <c r="D704" s="96">
        <f>6.35</f>
        <v>6.35</v>
      </c>
      <c r="E704" s="141">
        <f>2.925</f>
        <v>2.925</v>
      </c>
      <c r="F704" s="92">
        <f>14.75</f>
        <v>14.75</v>
      </c>
      <c r="G704" s="96">
        <f t="shared" si="36"/>
        <v>18.549999999999997</v>
      </c>
      <c r="H704" s="96">
        <f t="shared" si="37"/>
        <v>51.93999999999999</v>
      </c>
      <c r="I704" s="96">
        <f>(E704)*I$653</f>
        <v>8.19</v>
      </c>
      <c r="J704" s="96">
        <f>(D704+D704)*I$653</f>
        <v>35.559999999999995</v>
      </c>
      <c r="K704" s="131">
        <f>H704-(I704+J704)</f>
        <v>8.189999999999998</v>
      </c>
      <c r="L704" s="132"/>
      <c r="M704" s="92">
        <f t="shared" si="38"/>
        <v>0</v>
      </c>
      <c r="O704" s="92"/>
    </row>
    <row r="705" spans="1:15" ht="12.75">
      <c r="A705" s="93" t="s">
        <v>321</v>
      </c>
      <c r="C705" s="133" t="s">
        <v>179</v>
      </c>
      <c r="D705" s="151">
        <f>2.225</f>
        <v>2.225</v>
      </c>
      <c r="E705" s="135">
        <f>1.4</f>
        <v>1.4</v>
      </c>
      <c r="F705" s="92">
        <f>3.1</f>
        <v>3.1</v>
      </c>
      <c r="G705" s="96">
        <f t="shared" si="36"/>
        <v>7.25</v>
      </c>
      <c r="H705" s="134">
        <f t="shared" si="37"/>
        <v>20.299999999999997</v>
      </c>
      <c r="I705" s="52"/>
      <c r="J705" s="134">
        <f>(D705+E705)*I$653</f>
        <v>10.149999999999999</v>
      </c>
      <c r="L705" s="134">
        <f>H705-(I705+J705+K705)</f>
        <v>10.149999999999999</v>
      </c>
      <c r="M705" s="92">
        <f t="shared" si="38"/>
        <v>0</v>
      </c>
      <c r="O705" s="134"/>
    </row>
    <row r="706" spans="1:15" ht="12.75">
      <c r="A706" s="93" t="s">
        <v>322</v>
      </c>
      <c r="C706" s="93" t="s">
        <v>307</v>
      </c>
      <c r="D706" s="96">
        <f>6.35</f>
        <v>6.35</v>
      </c>
      <c r="E706" s="141">
        <f>2.925</f>
        <v>2.925</v>
      </c>
      <c r="F706" s="92">
        <f>14.75</f>
        <v>14.75</v>
      </c>
      <c r="G706" s="96">
        <f t="shared" si="36"/>
        <v>18.549999999999997</v>
      </c>
      <c r="H706" s="96">
        <f t="shared" si="37"/>
        <v>51.93999999999999</v>
      </c>
      <c r="I706" s="96">
        <f>(E706)*I$653</f>
        <v>8.19</v>
      </c>
      <c r="J706" s="96">
        <f>(D706+D706)*I$653</f>
        <v>35.559999999999995</v>
      </c>
      <c r="K706" s="131">
        <f>H706-(I706+J706)</f>
        <v>8.189999999999998</v>
      </c>
      <c r="L706" s="132"/>
      <c r="M706" s="92">
        <f t="shared" si="38"/>
        <v>0</v>
      </c>
      <c r="O706" s="92"/>
    </row>
    <row r="707" spans="1:15" ht="12.75">
      <c r="A707" s="93" t="s">
        <v>323</v>
      </c>
      <c r="C707" s="133" t="s">
        <v>179</v>
      </c>
      <c r="D707" s="151">
        <f>2.225</f>
        <v>2.225</v>
      </c>
      <c r="E707" s="135">
        <f>1.4</f>
        <v>1.4</v>
      </c>
      <c r="F707" s="92">
        <f>3.1</f>
        <v>3.1</v>
      </c>
      <c r="G707" s="96">
        <f t="shared" si="36"/>
        <v>7.25</v>
      </c>
      <c r="H707" s="134">
        <f t="shared" si="37"/>
        <v>20.299999999999997</v>
      </c>
      <c r="I707" s="52"/>
      <c r="J707" s="134">
        <f>(D707+E707)*I$653</f>
        <v>10.149999999999999</v>
      </c>
      <c r="L707" s="134">
        <f>H707-(I707+J707+K707)</f>
        <v>10.149999999999999</v>
      </c>
      <c r="M707" s="92">
        <f t="shared" si="38"/>
        <v>0</v>
      </c>
      <c r="O707" s="134"/>
    </row>
    <row r="708" spans="1:15" ht="12.75">
      <c r="A708" s="93" t="s">
        <v>324</v>
      </c>
      <c r="C708" s="93" t="s">
        <v>307</v>
      </c>
      <c r="D708" s="96">
        <f>6.35</f>
        <v>6.35</v>
      </c>
      <c r="E708" s="141">
        <f>2.925</f>
        <v>2.925</v>
      </c>
      <c r="F708" s="92">
        <f>14.75</f>
        <v>14.75</v>
      </c>
      <c r="G708" s="96">
        <f t="shared" si="36"/>
        <v>18.549999999999997</v>
      </c>
      <c r="H708" s="96">
        <f t="shared" si="37"/>
        <v>51.93999999999999</v>
      </c>
      <c r="I708" s="96">
        <f>(E708)*I$653</f>
        <v>8.19</v>
      </c>
      <c r="J708" s="96">
        <f>(D708+D708)*I$653</f>
        <v>35.559999999999995</v>
      </c>
      <c r="K708" s="131">
        <f>H708-(I708+J708)</f>
        <v>8.189999999999998</v>
      </c>
      <c r="L708" s="132"/>
      <c r="M708" s="92">
        <f t="shared" si="38"/>
        <v>0</v>
      </c>
      <c r="O708" s="92"/>
    </row>
    <row r="709" spans="1:15" ht="12.75">
      <c r="A709" s="93" t="s">
        <v>325</v>
      </c>
      <c r="C709" s="133" t="s">
        <v>179</v>
      </c>
      <c r="D709" s="151">
        <f>2.225</f>
        <v>2.225</v>
      </c>
      <c r="E709" s="135">
        <f>1.4</f>
        <v>1.4</v>
      </c>
      <c r="F709" s="92">
        <f>3.1</f>
        <v>3.1</v>
      </c>
      <c r="G709" s="96">
        <f t="shared" si="36"/>
        <v>7.25</v>
      </c>
      <c r="H709" s="134">
        <f t="shared" si="37"/>
        <v>20.299999999999997</v>
      </c>
      <c r="I709" s="52"/>
      <c r="J709" s="134">
        <f>(D709+E709)*I$653</f>
        <v>10.149999999999999</v>
      </c>
      <c r="L709" s="134">
        <f>H709-(I709+J709+K709)</f>
        <v>10.149999999999999</v>
      </c>
      <c r="M709" s="92">
        <f t="shared" si="38"/>
        <v>0</v>
      </c>
      <c r="O709" s="134"/>
    </row>
    <row r="710" spans="1:15" ht="12.75">
      <c r="A710" s="93" t="s">
        <v>326</v>
      </c>
      <c r="C710" s="93" t="s">
        <v>307</v>
      </c>
      <c r="D710" s="96">
        <f>6.35</f>
        <v>6.35</v>
      </c>
      <c r="E710" s="141">
        <f>2.925</f>
        <v>2.925</v>
      </c>
      <c r="F710" s="92">
        <f>14.75</f>
        <v>14.75</v>
      </c>
      <c r="G710" s="96">
        <f t="shared" si="36"/>
        <v>18.549999999999997</v>
      </c>
      <c r="H710" s="96">
        <f t="shared" si="37"/>
        <v>51.93999999999999</v>
      </c>
      <c r="I710" s="96">
        <f>(E710)*I$653</f>
        <v>8.19</v>
      </c>
      <c r="J710" s="96">
        <f>(D710+D710)*I$653</f>
        <v>35.559999999999995</v>
      </c>
      <c r="K710" s="131">
        <f>H710-(I710+J710)</f>
        <v>8.189999999999998</v>
      </c>
      <c r="L710" s="132"/>
      <c r="M710" s="92">
        <f t="shared" si="38"/>
        <v>0</v>
      </c>
      <c r="O710" s="92"/>
    </row>
    <row r="711" spans="1:15" ht="12.75">
      <c r="A711" s="93" t="s">
        <v>327</v>
      </c>
      <c r="C711" s="133" t="s">
        <v>179</v>
      </c>
      <c r="D711" s="151">
        <f>2.225</f>
        <v>2.225</v>
      </c>
      <c r="E711" s="135">
        <f>1.4</f>
        <v>1.4</v>
      </c>
      <c r="F711" s="92">
        <f>3.1</f>
        <v>3.1</v>
      </c>
      <c r="G711" s="96">
        <f t="shared" si="36"/>
        <v>7.25</v>
      </c>
      <c r="H711" s="134">
        <f t="shared" si="37"/>
        <v>20.299999999999997</v>
      </c>
      <c r="I711" s="52"/>
      <c r="J711" s="134">
        <f>(D711+E711)*I$653</f>
        <v>10.149999999999999</v>
      </c>
      <c r="L711" s="134">
        <f>H711-(I711+J711+K711)</f>
        <v>10.149999999999999</v>
      </c>
      <c r="M711" s="92">
        <f t="shared" si="38"/>
        <v>0</v>
      </c>
      <c r="O711" s="134"/>
    </row>
    <row r="712" spans="1:15" ht="12.75">
      <c r="A712" s="93" t="s">
        <v>328</v>
      </c>
      <c r="C712" s="93" t="s">
        <v>329</v>
      </c>
      <c r="D712" s="96">
        <f>3.2</f>
        <v>3.2</v>
      </c>
      <c r="E712" s="94">
        <f>0.6</f>
        <v>0.6</v>
      </c>
      <c r="F712" s="92">
        <f>1.9</f>
        <v>1.9</v>
      </c>
      <c r="G712" s="96">
        <f t="shared" si="36"/>
        <v>7.6000000000000005</v>
      </c>
      <c r="H712" s="96">
        <f t="shared" si="37"/>
        <v>21.28</v>
      </c>
      <c r="I712" s="96">
        <f>(E712)*I$653</f>
        <v>1.68</v>
      </c>
      <c r="J712" s="96">
        <f>(D712+D712)*I$653</f>
        <v>17.919999999999998</v>
      </c>
      <c r="K712" s="131">
        <f>H712-(I712+J712)</f>
        <v>1.6800000000000033</v>
      </c>
      <c r="L712" s="132"/>
      <c r="M712" s="92">
        <f t="shared" si="38"/>
        <v>0</v>
      </c>
      <c r="O712" s="92"/>
    </row>
    <row r="713" spans="1:13" ht="12.75">
      <c r="A713" s="52"/>
      <c r="B713" s="52"/>
      <c r="C713" s="124" t="s">
        <v>330</v>
      </c>
      <c r="D713" s="52"/>
      <c r="E713" s="52"/>
      <c r="H713" s="52"/>
      <c r="I713" s="52"/>
      <c r="M713" s="92">
        <f t="shared" si="38"/>
        <v>0</v>
      </c>
    </row>
    <row r="714" spans="1:15" ht="12.75">
      <c r="A714" s="93" t="s">
        <v>331</v>
      </c>
      <c r="C714" s="133" t="s">
        <v>291</v>
      </c>
      <c r="D714" s="134">
        <f>4.32</f>
        <v>4.32</v>
      </c>
      <c r="E714" s="139">
        <f>2.825</f>
        <v>2.825</v>
      </c>
      <c r="F714" s="96">
        <f>12.2</f>
        <v>12.2</v>
      </c>
      <c r="G714" s="96">
        <f aca="true" t="shared" si="39" ref="G714:G740">2*(D714+E714)</f>
        <v>14.290000000000001</v>
      </c>
      <c r="H714" s="134">
        <f aca="true" t="shared" si="40" ref="H714:H740">G714*I$653</f>
        <v>40.012</v>
      </c>
      <c r="I714" s="134" t="e">
        <f>(E714)*#REF!</f>
        <v>#REF!</v>
      </c>
      <c r="J714" s="134">
        <f>(D714+D714)*I$653</f>
        <v>24.192</v>
      </c>
      <c r="K714" s="131"/>
      <c r="L714" s="134" t="e">
        <f>H714-(I714+J714+K714)</f>
        <v>#REF!</v>
      </c>
      <c r="M714" s="92" t="e">
        <f t="shared" si="38"/>
        <v>#REF!</v>
      </c>
      <c r="O714" s="92"/>
    </row>
    <row r="715" spans="1:15" ht="12.75">
      <c r="A715" s="93" t="s">
        <v>332</v>
      </c>
      <c r="C715" s="93" t="s">
        <v>298</v>
      </c>
      <c r="D715" s="94">
        <f>6.2</f>
        <v>6.2</v>
      </c>
      <c r="E715" s="94">
        <f>6</f>
        <v>6</v>
      </c>
      <c r="F715" s="92">
        <f>26</f>
        <v>26</v>
      </c>
      <c r="G715" s="96">
        <f t="shared" si="39"/>
        <v>24.4</v>
      </c>
      <c r="H715" s="96">
        <f t="shared" si="40"/>
        <v>68.32</v>
      </c>
      <c r="I715" s="96">
        <f>(E715)*I$653</f>
        <v>16.799999999999997</v>
      </c>
      <c r="J715" s="96">
        <f>(D715+D715)*I$653</f>
        <v>34.72</v>
      </c>
      <c r="K715" s="131">
        <f>H715-(I715+J715)</f>
        <v>16.799999999999997</v>
      </c>
      <c r="L715" s="132"/>
      <c r="M715" s="92">
        <f t="shared" si="38"/>
        <v>0</v>
      </c>
      <c r="O715" s="92"/>
    </row>
    <row r="716" spans="1:15" ht="12.75">
      <c r="A716" s="93" t="s">
        <v>333</v>
      </c>
      <c r="C716" s="133" t="s">
        <v>179</v>
      </c>
      <c r="D716" s="134">
        <f>2.85</f>
        <v>2.85</v>
      </c>
      <c r="E716" s="135">
        <f>2.2</f>
        <v>2.2</v>
      </c>
      <c r="F716" s="92">
        <f>6.3</f>
        <v>6.3</v>
      </c>
      <c r="G716" s="96">
        <f t="shared" si="39"/>
        <v>10.100000000000001</v>
      </c>
      <c r="H716" s="134">
        <f t="shared" si="40"/>
        <v>28.28</v>
      </c>
      <c r="I716" s="52"/>
      <c r="J716" s="134">
        <f>(D716+E716)*I$653</f>
        <v>14.14</v>
      </c>
      <c r="L716" s="134">
        <f>H716-(I716+J716+K716)</f>
        <v>14.14</v>
      </c>
      <c r="M716" s="92">
        <f t="shared" si="38"/>
        <v>0</v>
      </c>
      <c r="O716" s="134"/>
    </row>
    <row r="717" spans="1:15" ht="12.75">
      <c r="A717" s="93" t="s">
        <v>334</v>
      </c>
      <c r="C717" s="93" t="s">
        <v>307</v>
      </c>
      <c r="D717" s="94">
        <f>6.2</f>
        <v>6.2</v>
      </c>
      <c r="E717" s="141">
        <f>2.925</f>
        <v>2.925</v>
      </c>
      <c r="F717" s="92">
        <f>14.75</f>
        <v>14.75</v>
      </c>
      <c r="G717" s="96">
        <f t="shared" si="39"/>
        <v>18.25</v>
      </c>
      <c r="H717" s="96">
        <f t="shared" si="40"/>
        <v>51.099999999999994</v>
      </c>
      <c r="I717" s="96">
        <f>(E717)*I$653</f>
        <v>8.19</v>
      </c>
      <c r="J717" s="96">
        <f>(D717+D717)*I$653</f>
        <v>34.72</v>
      </c>
      <c r="K717" s="131">
        <f>H717-(I717+J717)</f>
        <v>8.189999999999998</v>
      </c>
      <c r="L717" s="132"/>
      <c r="M717" s="92">
        <f t="shared" si="38"/>
        <v>0</v>
      </c>
      <c r="O717" s="92"/>
    </row>
    <row r="718" spans="1:15" ht="12.75">
      <c r="A718" s="93" t="s">
        <v>335</v>
      </c>
      <c r="C718" s="133" t="s">
        <v>179</v>
      </c>
      <c r="D718" s="151">
        <f>2.225</f>
        <v>2.225</v>
      </c>
      <c r="E718" s="135">
        <f>1.4</f>
        <v>1.4</v>
      </c>
      <c r="F718" s="92">
        <f>3.1</f>
        <v>3.1</v>
      </c>
      <c r="G718" s="96">
        <f t="shared" si="39"/>
        <v>7.25</v>
      </c>
      <c r="H718" s="134">
        <f t="shared" si="40"/>
        <v>20.299999999999997</v>
      </c>
      <c r="I718" s="52"/>
      <c r="J718" s="134">
        <f>(D718+E718)*I$653</f>
        <v>10.149999999999999</v>
      </c>
      <c r="L718" s="134">
        <f>H718-(I718+J718+K718)</f>
        <v>10.149999999999999</v>
      </c>
      <c r="M718" s="92">
        <f t="shared" si="38"/>
        <v>0</v>
      </c>
      <c r="O718" s="134"/>
    </row>
    <row r="719" spans="1:15" ht="12.75">
      <c r="A719" s="93" t="s">
        <v>336</v>
      </c>
      <c r="C719" s="93" t="s">
        <v>310</v>
      </c>
      <c r="D719" s="94">
        <f>6.2</f>
        <v>6.2</v>
      </c>
      <c r="E719" s="141">
        <f>2.925</f>
        <v>2.925</v>
      </c>
      <c r="F719" s="92">
        <f>14.75</f>
        <v>14.75</v>
      </c>
      <c r="G719" s="96">
        <f t="shared" si="39"/>
        <v>18.25</v>
      </c>
      <c r="H719" s="96">
        <f t="shared" si="40"/>
        <v>51.099999999999994</v>
      </c>
      <c r="I719" s="96">
        <f>(E719)*I$653</f>
        <v>8.19</v>
      </c>
      <c r="J719" s="96">
        <f>(D719+D719)*I$653</f>
        <v>34.72</v>
      </c>
      <c r="K719" s="131">
        <f>H719-(I719+J719)</f>
        <v>8.189999999999998</v>
      </c>
      <c r="L719" s="132"/>
      <c r="M719" s="92">
        <f t="shared" si="38"/>
        <v>0</v>
      </c>
      <c r="O719" s="92"/>
    </row>
    <row r="720" spans="1:15" ht="12.75">
      <c r="A720" s="93" t="s">
        <v>337</v>
      </c>
      <c r="C720" s="133" t="s">
        <v>179</v>
      </c>
      <c r="D720" s="151">
        <f>2.225</f>
        <v>2.225</v>
      </c>
      <c r="E720" s="135">
        <f>1.4</f>
        <v>1.4</v>
      </c>
      <c r="F720" s="92">
        <f>3.1</f>
        <v>3.1</v>
      </c>
      <c r="G720" s="96">
        <f t="shared" si="39"/>
        <v>7.25</v>
      </c>
      <c r="H720" s="134">
        <f t="shared" si="40"/>
        <v>20.299999999999997</v>
      </c>
      <c r="I720" s="52"/>
      <c r="J720" s="134">
        <f>(D720+E720)*I$653</f>
        <v>10.149999999999999</v>
      </c>
      <c r="L720" s="134">
        <f>H720-(I720+J720+K720)</f>
        <v>10.149999999999999</v>
      </c>
      <c r="M720" s="92">
        <f t="shared" si="38"/>
        <v>0</v>
      </c>
      <c r="O720" s="134"/>
    </row>
    <row r="721" spans="1:15" ht="12.75">
      <c r="A721" s="93" t="s">
        <v>338</v>
      </c>
      <c r="C721" s="93" t="s">
        <v>307</v>
      </c>
      <c r="D721" s="94">
        <f>6.2</f>
        <v>6.2</v>
      </c>
      <c r="E721" s="141">
        <f>2.925</f>
        <v>2.925</v>
      </c>
      <c r="F721" s="92">
        <f>14.75</f>
        <v>14.75</v>
      </c>
      <c r="G721" s="96">
        <f t="shared" si="39"/>
        <v>18.25</v>
      </c>
      <c r="H721" s="96">
        <f t="shared" si="40"/>
        <v>51.099999999999994</v>
      </c>
      <c r="I721" s="96">
        <f>(E721)*I$653</f>
        <v>8.19</v>
      </c>
      <c r="J721" s="96">
        <f>(D721+D721)*I$653</f>
        <v>34.72</v>
      </c>
      <c r="K721" s="131">
        <f>H721-(I721+J721)</f>
        <v>8.189999999999998</v>
      </c>
      <c r="L721" s="132"/>
      <c r="M721" s="92">
        <f t="shared" si="38"/>
        <v>0</v>
      </c>
      <c r="O721" s="92"/>
    </row>
    <row r="722" spans="1:15" ht="12.75">
      <c r="A722" s="93" t="s">
        <v>339</v>
      </c>
      <c r="C722" s="133" t="s">
        <v>179</v>
      </c>
      <c r="D722" s="151">
        <f>2.225</f>
        <v>2.225</v>
      </c>
      <c r="E722" s="135">
        <f>1.4</f>
        <v>1.4</v>
      </c>
      <c r="F722" s="92">
        <f>3.1</f>
        <v>3.1</v>
      </c>
      <c r="G722" s="96">
        <f t="shared" si="39"/>
        <v>7.25</v>
      </c>
      <c r="H722" s="134">
        <f t="shared" si="40"/>
        <v>20.299999999999997</v>
      </c>
      <c r="I722" s="52"/>
      <c r="J722" s="134">
        <f>(D722+E722)*I$653</f>
        <v>10.149999999999999</v>
      </c>
      <c r="L722" s="134">
        <f>H722-(I722+J722+K722)</f>
        <v>10.149999999999999</v>
      </c>
      <c r="M722" s="92">
        <f t="shared" si="38"/>
        <v>0</v>
      </c>
      <c r="O722" s="134"/>
    </row>
    <row r="723" spans="1:15" ht="12.75">
      <c r="A723" s="93" t="s">
        <v>340</v>
      </c>
      <c r="C723" s="93" t="s">
        <v>310</v>
      </c>
      <c r="D723" s="94">
        <f>6.2</f>
        <v>6.2</v>
      </c>
      <c r="E723" s="141">
        <f>2.925</f>
        <v>2.925</v>
      </c>
      <c r="F723" s="92">
        <f>14.75</f>
        <v>14.75</v>
      </c>
      <c r="G723" s="96">
        <f t="shared" si="39"/>
        <v>18.25</v>
      </c>
      <c r="H723" s="96">
        <f t="shared" si="40"/>
        <v>51.099999999999994</v>
      </c>
      <c r="I723" s="96">
        <f>(E723)*I$653</f>
        <v>8.19</v>
      </c>
      <c r="J723" s="96">
        <f>(D723+D723)*I$653</f>
        <v>34.72</v>
      </c>
      <c r="K723" s="131">
        <f>H723-(I723+J723)</f>
        <v>8.189999999999998</v>
      </c>
      <c r="L723" s="132"/>
      <c r="M723" s="92">
        <f t="shared" si="38"/>
        <v>0</v>
      </c>
      <c r="O723" s="92"/>
    </row>
    <row r="724" spans="1:15" ht="12.75">
      <c r="A724" s="93" t="s">
        <v>341</v>
      </c>
      <c r="C724" s="133" t="s">
        <v>179</v>
      </c>
      <c r="D724" s="151">
        <f>2.225</f>
        <v>2.225</v>
      </c>
      <c r="E724" s="135">
        <f>1.4</f>
        <v>1.4</v>
      </c>
      <c r="F724" s="92">
        <f>3.1</f>
        <v>3.1</v>
      </c>
      <c r="G724" s="96">
        <f t="shared" si="39"/>
        <v>7.25</v>
      </c>
      <c r="H724" s="134">
        <f t="shared" si="40"/>
        <v>20.299999999999997</v>
      </c>
      <c r="I724" s="52"/>
      <c r="J724" s="134">
        <f>(D724+E724)*I$653</f>
        <v>10.149999999999999</v>
      </c>
      <c r="L724" s="134">
        <f>H724-(I724+J724+K724)</f>
        <v>10.149999999999999</v>
      </c>
      <c r="M724" s="92">
        <f t="shared" si="38"/>
        <v>0</v>
      </c>
      <c r="O724" s="134"/>
    </row>
    <row r="725" spans="1:15" ht="12.75">
      <c r="A725" s="93" t="s">
        <v>342</v>
      </c>
      <c r="C725" s="93" t="s">
        <v>310</v>
      </c>
      <c r="D725" s="94">
        <f>6.2</f>
        <v>6.2</v>
      </c>
      <c r="E725" s="141">
        <f>2.925</f>
        <v>2.925</v>
      </c>
      <c r="F725" s="92">
        <f>13.75</f>
        <v>13.75</v>
      </c>
      <c r="G725" s="96">
        <f t="shared" si="39"/>
        <v>18.25</v>
      </c>
      <c r="H725" s="96">
        <f t="shared" si="40"/>
        <v>51.099999999999994</v>
      </c>
      <c r="I725" s="96">
        <f>(E725)*I$653</f>
        <v>8.19</v>
      </c>
      <c r="J725" s="96">
        <f>(D725+D725)*I$653</f>
        <v>34.72</v>
      </c>
      <c r="K725" s="131">
        <f>H725-(I725+J725)</f>
        <v>8.189999999999998</v>
      </c>
      <c r="L725" s="132"/>
      <c r="M725" s="92">
        <f t="shared" si="38"/>
        <v>0</v>
      </c>
      <c r="O725" s="92"/>
    </row>
    <row r="726" spans="1:15" ht="12.75">
      <c r="A726" s="93" t="s">
        <v>343</v>
      </c>
      <c r="C726" s="133" t="s">
        <v>179</v>
      </c>
      <c r="D726" s="151">
        <f>2.225</f>
        <v>2.225</v>
      </c>
      <c r="E726" s="135">
        <f>1.4</f>
        <v>1.4</v>
      </c>
      <c r="F726" s="92">
        <f>3.1</f>
        <v>3.1</v>
      </c>
      <c r="G726" s="96">
        <f t="shared" si="39"/>
        <v>7.25</v>
      </c>
      <c r="H726" s="134">
        <f t="shared" si="40"/>
        <v>20.299999999999997</v>
      </c>
      <c r="I726" s="52"/>
      <c r="J726" s="134">
        <f>(D726+E726)*I$653</f>
        <v>10.149999999999999</v>
      </c>
      <c r="L726" s="134">
        <f>H726-(I726+J726+K726)</f>
        <v>10.149999999999999</v>
      </c>
      <c r="M726" s="92">
        <f t="shared" si="38"/>
        <v>0</v>
      </c>
      <c r="O726" s="134"/>
    </row>
    <row r="727" spans="1:15" ht="12.75">
      <c r="A727" s="93" t="s">
        <v>344</v>
      </c>
      <c r="C727" s="93" t="s">
        <v>310</v>
      </c>
      <c r="D727" s="94">
        <f>6.2</f>
        <v>6.2</v>
      </c>
      <c r="E727" s="141">
        <f>2.925</f>
        <v>2.925</v>
      </c>
      <c r="F727" s="92">
        <f>13.75</f>
        <v>13.75</v>
      </c>
      <c r="G727" s="96">
        <f t="shared" si="39"/>
        <v>18.25</v>
      </c>
      <c r="H727" s="96">
        <f t="shared" si="40"/>
        <v>51.099999999999994</v>
      </c>
      <c r="I727" s="96">
        <f>(E727)*I$653</f>
        <v>8.19</v>
      </c>
      <c r="J727" s="96">
        <f>(D727+D727)*I$653</f>
        <v>34.72</v>
      </c>
      <c r="K727" s="131">
        <f>H727-(I727+J727)</f>
        <v>8.189999999999998</v>
      </c>
      <c r="L727" s="132"/>
      <c r="M727" s="92">
        <f aca="true" t="shared" si="41" ref="M727:M739">H727-(I727+J727+K727+L727)</f>
        <v>0</v>
      </c>
      <c r="O727" s="92"/>
    </row>
    <row r="728" spans="1:15" ht="12.75">
      <c r="A728" s="93" t="s">
        <v>345</v>
      </c>
      <c r="C728" s="133" t="s">
        <v>179</v>
      </c>
      <c r="D728" s="151">
        <f>2.225</f>
        <v>2.225</v>
      </c>
      <c r="E728" s="135">
        <f>1.4</f>
        <v>1.4</v>
      </c>
      <c r="F728" s="92">
        <f>3.1</f>
        <v>3.1</v>
      </c>
      <c r="G728" s="96">
        <f t="shared" si="39"/>
        <v>7.25</v>
      </c>
      <c r="H728" s="134">
        <f t="shared" si="40"/>
        <v>20.299999999999997</v>
      </c>
      <c r="I728" s="52"/>
      <c r="J728" s="134">
        <f>(D728+E728)*I$653</f>
        <v>10.149999999999999</v>
      </c>
      <c r="L728" s="134">
        <f>H728-(I728+J728+K728)</f>
        <v>10.149999999999999</v>
      </c>
      <c r="M728" s="92">
        <f t="shared" si="41"/>
        <v>0</v>
      </c>
      <c r="O728" s="134"/>
    </row>
    <row r="729" spans="1:15" ht="12.75">
      <c r="A729" s="93" t="s">
        <v>346</v>
      </c>
      <c r="C729" s="93" t="s">
        <v>298</v>
      </c>
      <c r="D729" s="94">
        <f>6.2</f>
        <v>6.2</v>
      </c>
      <c r="E729" s="94">
        <f>4.5</f>
        <v>4.5</v>
      </c>
      <c r="F729" s="92">
        <f>23.9</f>
        <v>23.9</v>
      </c>
      <c r="G729" s="96">
        <f t="shared" si="39"/>
        <v>21.4</v>
      </c>
      <c r="H729" s="96">
        <f t="shared" si="40"/>
        <v>59.919999999999995</v>
      </c>
      <c r="I729" s="96">
        <f>(E729)*I$653</f>
        <v>12.6</v>
      </c>
      <c r="J729" s="96">
        <f>(D729+D729)*I$653</f>
        <v>34.72</v>
      </c>
      <c r="K729" s="131">
        <f>H729-(I729+J729)</f>
        <v>12.599999999999994</v>
      </c>
      <c r="L729" s="132"/>
      <c r="M729" s="92">
        <f t="shared" si="41"/>
        <v>0</v>
      </c>
      <c r="O729" s="92"/>
    </row>
    <row r="730" spans="1:15" ht="12.75">
      <c r="A730" s="93" t="s">
        <v>347</v>
      </c>
      <c r="C730" s="133" t="s">
        <v>179</v>
      </c>
      <c r="D730" s="151">
        <f>2.225</f>
        <v>2.225</v>
      </c>
      <c r="E730" s="135">
        <f>1.8</f>
        <v>1.8</v>
      </c>
      <c r="F730" s="92">
        <f>4</f>
        <v>4</v>
      </c>
      <c r="G730" s="96">
        <f t="shared" si="39"/>
        <v>8.05</v>
      </c>
      <c r="H730" s="134">
        <f t="shared" si="40"/>
        <v>22.54</v>
      </c>
      <c r="I730" s="52"/>
      <c r="J730" s="134">
        <f>(D730+E730)*I$653</f>
        <v>11.27</v>
      </c>
      <c r="L730" s="134">
        <f>H730-(I730+J730+K730)</f>
        <v>11.27</v>
      </c>
      <c r="M730" s="92">
        <f t="shared" si="41"/>
        <v>0</v>
      </c>
      <c r="O730" s="134"/>
    </row>
    <row r="731" spans="1:15" ht="12.75">
      <c r="A731" s="93" t="s">
        <v>348</v>
      </c>
      <c r="C731" s="93" t="s">
        <v>298</v>
      </c>
      <c r="D731" s="94">
        <f>6.2</f>
        <v>6.2</v>
      </c>
      <c r="E731" s="94">
        <f>4.5</f>
        <v>4.5</v>
      </c>
      <c r="F731" s="92">
        <f>24</f>
        <v>24</v>
      </c>
      <c r="G731" s="96">
        <f t="shared" si="39"/>
        <v>21.4</v>
      </c>
      <c r="H731" s="96">
        <f t="shared" si="40"/>
        <v>59.919999999999995</v>
      </c>
      <c r="I731" s="96">
        <f>(E731)*I$653</f>
        <v>12.6</v>
      </c>
      <c r="J731" s="96">
        <f>(D731+D731)*I$653</f>
        <v>34.72</v>
      </c>
      <c r="K731" s="131">
        <f>H731-(I731+J731)</f>
        <v>12.599999999999994</v>
      </c>
      <c r="L731" s="132"/>
      <c r="M731" s="92">
        <f t="shared" si="41"/>
        <v>0</v>
      </c>
      <c r="O731" s="92"/>
    </row>
    <row r="732" spans="1:15" ht="12.75">
      <c r="A732" s="93" t="s">
        <v>349</v>
      </c>
      <c r="C732" s="133" t="s">
        <v>179</v>
      </c>
      <c r="D732" s="151">
        <f>2.225</f>
        <v>2.225</v>
      </c>
      <c r="E732" s="135">
        <f>1.8</f>
        <v>1.8</v>
      </c>
      <c r="F732" s="92">
        <f>4</f>
        <v>4</v>
      </c>
      <c r="G732" s="96">
        <f t="shared" si="39"/>
        <v>8.05</v>
      </c>
      <c r="H732" s="134">
        <f t="shared" si="40"/>
        <v>22.54</v>
      </c>
      <c r="I732" s="52"/>
      <c r="J732" s="134">
        <f>(D732+E732)*I$653</f>
        <v>11.27</v>
      </c>
      <c r="L732" s="134">
        <f>H732-(I732+J732+K732)</f>
        <v>11.27</v>
      </c>
      <c r="M732" s="92">
        <f t="shared" si="41"/>
        <v>0</v>
      </c>
      <c r="O732" s="134"/>
    </row>
    <row r="733" spans="1:15" ht="12.75">
      <c r="A733" s="93" t="s">
        <v>350</v>
      </c>
      <c r="C733" s="93" t="s">
        <v>298</v>
      </c>
      <c r="D733" s="94">
        <f>6.2</f>
        <v>6.2</v>
      </c>
      <c r="E733" s="94">
        <f>4.5</f>
        <v>4.5</v>
      </c>
      <c r="F733" s="92">
        <f>24</f>
        <v>24</v>
      </c>
      <c r="G733" s="96">
        <f t="shared" si="39"/>
        <v>21.4</v>
      </c>
      <c r="H733" s="96">
        <f t="shared" si="40"/>
        <v>59.919999999999995</v>
      </c>
      <c r="I733" s="96">
        <f>(E733)*I$653</f>
        <v>12.6</v>
      </c>
      <c r="J733" s="96">
        <f>(D733+D733)*I$653</f>
        <v>34.72</v>
      </c>
      <c r="K733" s="131">
        <f>H733-(I733+J733)</f>
        <v>12.599999999999994</v>
      </c>
      <c r="L733" s="132"/>
      <c r="M733" s="92">
        <f t="shared" si="41"/>
        <v>0</v>
      </c>
      <c r="O733" s="92"/>
    </row>
    <row r="734" spans="1:15" ht="12.75">
      <c r="A734" s="93" t="s">
        <v>351</v>
      </c>
      <c r="C734" s="133" t="s">
        <v>179</v>
      </c>
      <c r="D734" s="151">
        <f>2.225</f>
        <v>2.225</v>
      </c>
      <c r="E734" s="135">
        <f>1.8</f>
        <v>1.8</v>
      </c>
      <c r="F734" s="92">
        <f>4</f>
        <v>4</v>
      </c>
      <c r="G734" s="96">
        <f t="shared" si="39"/>
        <v>8.05</v>
      </c>
      <c r="H734" s="134">
        <f t="shared" si="40"/>
        <v>22.54</v>
      </c>
      <c r="I734" s="52"/>
      <c r="J734" s="134">
        <f>(D734+E734)*I$653</f>
        <v>11.27</v>
      </c>
      <c r="L734" s="134">
        <f>H734-(I734+J734+K734)</f>
        <v>11.27</v>
      </c>
      <c r="M734" s="92">
        <f t="shared" si="41"/>
        <v>0</v>
      </c>
      <c r="O734" s="134"/>
    </row>
    <row r="735" spans="1:15" ht="12.75">
      <c r="A735" s="93" t="s">
        <v>352</v>
      </c>
      <c r="C735" s="93" t="s">
        <v>298</v>
      </c>
      <c r="D735" s="94">
        <f>6.2</f>
        <v>6.2</v>
      </c>
      <c r="E735" s="94">
        <f>4.5</f>
        <v>4.5</v>
      </c>
      <c r="F735" s="92">
        <f>24</f>
        <v>24</v>
      </c>
      <c r="G735" s="96">
        <f t="shared" si="39"/>
        <v>21.4</v>
      </c>
      <c r="H735" s="96">
        <f t="shared" si="40"/>
        <v>59.919999999999995</v>
      </c>
      <c r="I735" s="96">
        <f>(E735)*I$653</f>
        <v>12.6</v>
      </c>
      <c r="J735" s="96">
        <f>(D735+D735)*I$653</f>
        <v>34.72</v>
      </c>
      <c r="K735" s="131">
        <f>H735-(I735+J735)</f>
        <v>12.599999999999994</v>
      </c>
      <c r="L735" s="132"/>
      <c r="M735" s="92">
        <f t="shared" si="41"/>
        <v>0</v>
      </c>
      <c r="O735" s="92"/>
    </row>
    <row r="736" spans="1:15" ht="12.75">
      <c r="A736" s="93" t="s">
        <v>353</v>
      </c>
      <c r="C736" s="133" t="s">
        <v>179</v>
      </c>
      <c r="D736" s="151">
        <f>2.225</f>
        <v>2.225</v>
      </c>
      <c r="E736" s="135">
        <f>1.8</f>
        <v>1.8</v>
      </c>
      <c r="F736" s="92">
        <f>4</f>
        <v>4</v>
      </c>
      <c r="G736" s="96">
        <f t="shared" si="39"/>
        <v>8.05</v>
      </c>
      <c r="H736" s="134">
        <f t="shared" si="40"/>
        <v>22.54</v>
      </c>
      <c r="I736" s="52"/>
      <c r="J736" s="134">
        <f>(D736+E736)*I$653</f>
        <v>11.27</v>
      </c>
      <c r="L736" s="134">
        <f>H736-(I736+J736+K736)</f>
        <v>11.27</v>
      </c>
      <c r="M736" s="92">
        <f t="shared" si="41"/>
        <v>0</v>
      </c>
      <c r="O736" s="134"/>
    </row>
    <row r="737" spans="1:15" ht="12.75">
      <c r="A737" s="93" t="s">
        <v>354</v>
      </c>
      <c r="C737" s="93" t="s">
        <v>298</v>
      </c>
      <c r="D737" s="94">
        <f>6.2</f>
        <v>6.2</v>
      </c>
      <c r="E737" s="94">
        <f>4.5</f>
        <v>4.5</v>
      </c>
      <c r="F737" s="92">
        <f>24</f>
        <v>24</v>
      </c>
      <c r="G737" s="96">
        <f t="shared" si="39"/>
        <v>21.4</v>
      </c>
      <c r="H737" s="96">
        <f t="shared" si="40"/>
        <v>59.919999999999995</v>
      </c>
      <c r="I737" s="96">
        <f>(E737)*I$653</f>
        <v>12.6</v>
      </c>
      <c r="J737" s="96">
        <f>(D737+D737)*I$653</f>
        <v>34.72</v>
      </c>
      <c r="K737" s="131">
        <f>H737-(I737+J737)</f>
        <v>12.599999999999994</v>
      </c>
      <c r="L737" s="132"/>
      <c r="M737" s="92">
        <f t="shared" si="41"/>
        <v>0</v>
      </c>
      <c r="O737" s="92"/>
    </row>
    <row r="738" spans="1:15" ht="12.75">
      <c r="A738" s="93" t="s">
        <v>355</v>
      </c>
      <c r="C738" s="133" t="s">
        <v>179</v>
      </c>
      <c r="D738" s="151">
        <f>2.225</f>
        <v>2.225</v>
      </c>
      <c r="E738" s="135">
        <f>1.8</f>
        <v>1.8</v>
      </c>
      <c r="F738" s="92">
        <f>4</f>
        <v>4</v>
      </c>
      <c r="G738" s="96">
        <f t="shared" si="39"/>
        <v>8.05</v>
      </c>
      <c r="H738" s="134">
        <f t="shared" si="40"/>
        <v>22.54</v>
      </c>
      <c r="I738" s="52"/>
      <c r="J738" s="134">
        <f>(D738+E738)*I$653</f>
        <v>11.27</v>
      </c>
      <c r="L738" s="134">
        <f>H738-(I738+J738+K738)</f>
        <v>11.27</v>
      </c>
      <c r="M738" s="92">
        <f t="shared" si="41"/>
        <v>0</v>
      </c>
      <c r="O738" s="134"/>
    </row>
    <row r="739" spans="1:15" ht="12.75">
      <c r="A739" s="93" t="s">
        <v>356</v>
      </c>
      <c r="C739" s="133" t="s">
        <v>282</v>
      </c>
      <c r="D739" s="134">
        <f>2.85</f>
        <v>2.85</v>
      </c>
      <c r="E739" s="135">
        <f>1.35</f>
        <v>1.35</v>
      </c>
      <c r="F739" s="92">
        <f>4</f>
        <v>4</v>
      </c>
      <c r="G739" s="96">
        <f t="shared" si="39"/>
        <v>8.4</v>
      </c>
      <c r="H739" s="134">
        <f t="shared" si="40"/>
        <v>23.52</v>
      </c>
      <c r="I739" s="52"/>
      <c r="J739" s="134">
        <f>(D739+E739)*I$653</f>
        <v>11.76</v>
      </c>
      <c r="L739" s="134">
        <f>H739-(I739+J739+K739)</f>
        <v>11.76</v>
      </c>
      <c r="M739" s="92">
        <f t="shared" si="41"/>
        <v>0</v>
      </c>
      <c r="O739" s="134"/>
    </row>
    <row r="740" spans="1:15" ht="12.75">
      <c r="A740" s="93" t="s">
        <v>357</v>
      </c>
      <c r="C740" s="93" t="s">
        <v>358</v>
      </c>
      <c r="D740" s="96">
        <f>F740/E740</f>
        <v>1.5</v>
      </c>
      <c r="E740" s="94">
        <f>0.6</f>
        <v>0.6</v>
      </c>
      <c r="F740" s="92">
        <f>0.9</f>
        <v>0.9</v>
      </c>
      <c r="G740" s="96">
        <f t="shared" si="39"/>
        <v>4.2</v>
      </c>
      <c r="H740" s="96">
        <f t="shared" si="40"/>
        <v>11.76</v>
      </c>
      <c r="I740" s="52"/>
      <c r="J740" s="96">
        <f>D740*I653</f>
        <v>4.199999999999999</v>
      </c>
      <c r="K740" s="96">
        <f>H740-(I740+J740)</f>
        <v>7.5600000000000005</v>
      </c>
      <c r="M740" s="92"/>
      <c r="O740" s="134"/>
    </row>
    <row r="741" spans="1:16" ht="12.75">
      <c r="A741" s="96">
        <f>2*(D741+E741)+(D742*2+E742)+2*(D743+E743)</f>
        <v>224.9</v>
      </c>
      <c r="B741" s="96"/>
      <c r="C741" s="93" t="str">
        <f>C652</f>
        <v>2, stāva plāns AR-13</v>
      </c>
      <c r="D741" s="142">
        <f>65.9</f>
        <v>65.9</v>
      </c>
      <c r="E741" s="92">
        <f>15.55</f>
        <v>15.55</v>
      </c>
      <c r="F741" s="130">
        <f aca="true" t="shared" si="42" ref="F741:L741">SUM(F654:F740)</f>
        <v>1132.3000000000006</v>
      </c>
      <c r="G741" s="96">
        <f t="shared" si="42"/>
        <v>1278.2299999999996</v>
      </c>
      <c r="H741" s="96">
        <f t="shared" si="42"/>
        <v>3649.684000000004</v>
      </c>
      <c r="I741" s="152" t="e">
        <f t="shared" si="42"/>
        <v>#REF!</v>
      </c>
      <c r="J741" s="153">
        <f t="shared" si="42"/>
        <v>1595.568</v>
      </c>
      <c r="K741" s="153">
        <f t="shared" si="42"/>
        <v>1085.69</v>
      </c>
      <c r="L741" s="154" t="e">
        <f t="shared" si="42"/>
        <v>#REF!</v>
      </c>
      <c r="M741" s="92" t="e">
        <f>H741-(I741+J741+K741+L741)</f>
        <v>#REF!</v>
      </c>
      <c r="O741" s="134"/>
      <c r="P741" s="134"/>
    </row>
    <row r="742" spans="1:16" ht="12.75">
      <c r="A742" s="96"/>
      <c r="B742" s="96"/>
      <c r="C742" s="146"/>
      <c r="D742" s="142">
        <f>25</f>
        <v>25</v>
      </c>
      <c r="E742" s="94">
        <f>12</f>
        <v>12</v>
      </c>
      <c r="F742" s="96">
        <f>D741*E741+D742*E742</f>
        <v>1324.7450000000001</v>
      </c>
      <c r="H742" s="99"/>
      <c r="I742" s="99"/>
      <c r="J742" s="99"/>
      <c r="K742" s="126"/>
      <c r="L742" s="132"/>
      <c r="M742" s="92">
        <f>H742-(I742+J742+K742+L742)</f>
        <v>0</v>
      </c>
      <c r="O742" s="134"/>
      <c r="P742" s="134"/>
    </row>
    <row r="743" spans="1:16" ht="12.75">
      <c r="A743" s="96"/>
      <c r="B743" s="96"/>
      <c r="D743" s="142"/>
      <c r="E743" s="94"/>
      <c r="F743" s="99">
        <f>F665+F666+F667+F668+F669+F670+F671+F675+F680+F682+F684+F686+F688+F690+F692+F694+F696+F698+F700+F702+F704+F706+F708+F715+F717+F719+F721+F723+F725+F727+F729+F731+F733+F735+F737</f>
        <v>660.8</v>
      </c>
      <c r="G743" s="99">
        <f>G665+G666+G667+G668+G669+G670+G671+G675+G680+G682+G684+G686+G688+G690+G692+G694+G696+G698+G700+G702+G704+G706+G708+G715+G717+G719+G721+G723+G725+G727+G729+G731+G733+G735+G737</f>
        <v>683.7499999999999</v>
      </c>
      <c r="H743" s="99"/>
      <c r="I743" s="99"/>
      <c r="J743" s="99"/>
      <c r="K743" s="126"/>
      <c r="L743" s="132"/>
      <c r="M743" s="92">
        <f>H743-(I743+J743+K743+L743)</f>
        <v>0</v>
      </c>
      <c r="O743" s="134"/>
      <c r="P743" s="134"/>
    </row>
    <row r="744" spans="1:16" ht="12.75">
      <c r="A744" s="96"/>
      <c r="B744" s="96"/>
      <c r="C744" s="146"/>
      <c r="D744" s="142"/>
      <c r="E744" s="149"/>
      <c r="F744" s="92">
        <f>(F665+F672+F673+F679+F681+F683+F685+F687+F689+F691+F693+F695+F697+F699+F701+F703+F705+F707+F709+F711+F714+F716+F718+F720+F722+F724+F726+F728+F730+F732+F734+F736+F738+F739)</f>
        <v>163.54999999999993</v>
      </c>
      <c r="G744" s="92">
        <f>(G665+G672+G673+G679+G681+G683+G685+G687+G689+G691+G693+G695+G697+G699+G701+G703+G705+G707+G709+G711+G714+G716+G718+G720+G722+G724+G726+G728+G730+G732+G734+G736+G738+G739)</f>
        <v>290.08</v>
      </c>
      <c r="H744" s="147">
        <f>(H665+H672+H673+H679+H681+H683+H685+H687+H689+H691+H693+H695+H697+H699+H701+H703+H705+H707+H709+H711+H714+H716+H718+H720+H722+H724+H726+H728+H730+H732+H734+H736+H738+H739)</f>
        <v>824.4639999999996</v>
      </c>
      <c r="I744" s="99"/>
      <c r="J744" s="99"/>
      <c r="K744" s="126"/>
      <c r="L744" s="132"/>
      <c r="M744" s="92"/>
      <c r="O744" s="134"/>
      <c r="P744" s="134"/>
    </row>
    <row r="745" spans="3:15" ht="12.75">
      <c r="C745" s="93" t="s">
        <v>359</v>
      </c>
      <c r="E745" s="122"/>
      <c r="F745" s="130"/>
      <c r="I745" s="155">
        <f>3</f>
        <v>3</v>
      </c>
      <c r="M745" s="92"/>
      <c r="O745" s="92"/>
    </row>
    <row r="746" spans="1:15" ht="12.75">
      <c r="A746" s="93">
        <f>1</f>
        <v>1</v>
      </c>
      <c r="C746" s="93" t="s">
        <v>269</v>
      </c>
      <c r="D746" s="96">
        <f>5.2</f>
        <v>5.2</v>
      </c>
      <c r="E746" s="94">
        <f>2.75</f>
        <v>2.75</v>
      </c>
      <c r="F746" s="92">
        <f>15.9</f>
        <v>15.9</v>
      </c>
      <c r="G746" s="96">
        <f>2*(D746+E746)</f>
        <v>15.9</v>
      </c>
      <c r="H746" s="96">
        <f>G746*I$745</f>
        <v>47.7</v>
      </c>
      <c r="I746" s="96">
        <f>(D746+E746)*I745</f>
        <v>23.85</v>
      </c>
      <c r="J746" s="96">
        <f>I745*(D746+E746)</f>
        <v>23.85</v>
      </c>
      <c r="L746" s="132"/>
      <c r="M746" s="92">
        <f aca="true" t="shared" si="43" ref="M746:M753">H746-(I746+J746+K746+L746)</f>
        <v>0</v>
      </c>
      <c r="O746" s="92"/>
    </row>
    <row r="747" spans="1:15" ht="12.75">
      <c r="A747" s="52">
        <f>1+A746</f>
        <v>2</v>
      </c>
      <c r="B747" s="52"/>
      <c r="C747" s="93" t="s">
        <v>360</v>
      </c>
      <c r="D747" s="125">
        <f>65.9</f>
        <v>65.9</v>
      </c>
      <c r="E747" s="94">
        <f>8.5</f>
        <v>8.5</v>
      </c>
      <c r="F747" s="92">
        <f>476.7</f>
        <v>476.7</v>
      </c>
      <c r="G747" s="96">
        <f>(D747+2*E747)</f>
        <v>82.9</v>
      </c>
      <c r="H747" s="96">
        <f>G747*I$745</f>
        <v>248.70000000000002</v>
      </c>
      <c r="I747" s="96">
        <f>H747</f>
        <v>248.70000000000002</v>
      </c>
      <c r="J747" s="126"/>
      <c r="L747" s="92"/>
      <c r="M747" s="92">
        <f t="shared" si="43"/>
        <v>0</v>
      </c>
      <c r="O747" s="92"/>
    </row>
    <row r="748" spans="1:15" ht="12.75">
      <c r="A748" s="52">
        <f>1+A747</f>
        <v>3</v>
      </c>
      <c r="B748" s="52"/>
      <c r="C748" s="93" t="s">
        <v>361</v>
      </c>
      <c r="D748" s="125">
        <f>8.175</f>
        <v>8.175</v>
      </c>
      <c r="E748" s="94">
        <f>5</f>
        <v>5</v>
      </c>
      <c r="F748" s="92">
        <f>46.3</f>
        <v>46.3</v>
      </c>
      <c r="G748" s="96">
        <f>2*(D748+E748)</f>
        <v>26.35</v>
      </c>
      <c r="H748" s="96">
        <f>G748*I$745</f>
        <v>79.05000000000001</v>
      </c>
      <c r="J748" s="126"/>
      <c r="K748" s="96">
        <f>2*(D748+E748)*I$745</f>
        <v>79.05000000000001</v>
      </c>
      <c r="M748" s="92">
        <f t="shared" si="43"/>
        <v>0</v>
      </c>
      <c r="O748" s="92"/>
    </row>
    <row r="749" spans="1:13" ht="12.75">
      <c r="A749" s="52">
        <f>1+A748</f>
        <v>4</v>
      </c>
      <c r="B749" s="52"/>
      <c r="C749" s="93" t="s">
        <v>361</v>
      </c>
      <c r="D749" s="125">
        <f>9</f>
        <v>9</v>
      </c>
      <c r="E749" s="94">
        <f>6.35</f>
        <v>6.35</v>
      </c>
      <c r="F749" s="92">
        <f>55.8</f>
        <v>55.8</v>
      </c>
      <c r="G749" s="96">
        <f>2*(D749+E749)</f>
        <v>30.7</v>
      </c>
      <c r="H749" s="96">
        <f>G749*I$745</f>
        <v>92.1</v>
      </c>
      <c r="I749" s="96">
        <f>D749*I745</f>
        <v>27</v>
      </c>
      <c r="J749" s="126"/>
      <c r="K749" s="96">
        <f>(D749+E749+D749)*I$745</f>
        <v>73.05000000000001</v>
      </c>
      <c r="M749" s="92">
        <f t="shared" si="43"/>
        <v>-7.950000000000017</v>
      </c>
    </row>
    <row r="750" spans="1:13" ht="12.75">
      <c r="A750" s="52">
        <f>1+A749</f>
        <v>5</v>
      </c>
      <c r="B750" s="52"/>
      <c r="C750" s="93" t="s">
        <v>360</v>
      </c>
      <c r="D750" s="125">
        <f>65.9</f>
        <v>65.9</v>
      </c>
      <c r="E750" s="94">
        <f>6.2</f>
        <v>6.2</v>
      </c>
      <c r="F750" s="92">
        <f>336.4</f>
        <v>336.4</v>
      </c>
      <c r="G750" s="96">
        <f>(D750+2*E750)</f>
        <v>78.30000000000001</v>
      </c>
      <c r="H750" s="96">
        <f>(G750+D749-E751)*I$745</f>
        <v>247.20000000000002</v>
      </c>
      <c r="I750" s="96">
        <f>H750</f>
        <v>247.20000000000002</v>
      </c>
      <c r="J750" s="126"/>
      <c r="M750" s="92">
        <f t="shared" si="43"/>
        <v>0</v>
      </c>
    </row>
    <row r="751" spans="1:15" ht="12.75">
      <c r="A751" s="52">
        <f>1+A750</f>
        <v>6</v>
      </c>
      <c r="B751" s="52"/>
      <c r="C751" s="93" t="s">
        <v>361</v>
      </c>
      <c r="D751" s="96">
        <f>9.45</f>
        <v>9.45</v>
      </c>
      <c r="E751" s="94">
        <f>4.9</f>
        <v>4.9</v>
      </c>
      <c r="F751" s="92">
        <f>43.9</f>
        <v>43.9</v>
      </c>
      <c r="G751" s="96">
        <f>2*(D751+E751)</f>
        <v>28.7</v>
      </c>
      <c r="H751" s="96">
        <f>G751*I$745</f>
        <v>86.1</v>
      </c>
      <c r="I751" s="96">
        <f>E751*I745</f>
        <v>14.700000000000001</v>
      </c>
      <c r="J751" s="126"/>
      <c r="K751" s="96">
        <f>(D751+E751+D751)*I$745</f>
        <v>71.39999999999999</v>
      </c>
      <c r="M751" s="92">
        <f t="shared" si="43"/>
        <v>0</v>
      </c>
      <c r="O751" s="92"/>
    </row>
    <row r="752" spans="1:15" ht="12.75">
      <c r="A752" s="96">
        <f>2*(D752+E752)+(D753*2+E753)+2*(D754+E754)</f>
        <v>224.9</v>
      </c>
      <c r="B752" s="96"/>
      <c r="C752" s="156" t="str">
        <f>C745</f>
        <v>Bēninu stāva plāns AR-14</v>
      </c>
      <c r="D752" s="142">
        <f>65.9</f>
        <v>65.9</v>
      </c>
      <c r="E752" s="92">
        <f>15.55</f>
        <v>15.55</v>
      </c>
      <c r="F752" s="96">
        <f>SUM(F745:F751)</f>
        <v>974.9999999999999</v>
      </c>
      <c r="G752" s="96">
        <f>SUM(H745:H751)</f>
        <v>800.8500000000001</v>
      </c>
      <c r="H752" s="96">
        <f>SUM(I745:I751)</f>
        <v>564.45</v>
      </c>
      <c r="I752" s="153">
        <f>SUM(I745:I751)</f>
        <v>564.45</v>
      </c>
      <c r="J752" s="157">
        <f>SUM(J745:J751)</f>
        <v>23.85</v>
      </c>
      <c r="K752" s="158">
        <f>SUM(K745:K751)</f>
        <v>223.5</v>
      </c>
      <c r="L752" s="134">
        <f>SUM(L745:L751)</f>
        <v>0</v>
      </c>
      <c r="M752" s="92">
        <f t="shared" si="43"/>
        <v>-247.35000000000002</v>
      </c>
      <c r="O752" s="134"/>
    </row>
    <row r="753" spans="1:16" ht="12.75">
      <c r="A753" s="90"/>
      <c r="B753" s="90"/>
      <c r="C753" s="90" t="s">
        <v>362</v>
      </c>
      <c r="D753" s="142">
        <f>25</f>
        <v>25</v>
      </c>
      <c r="E753" s="94">
        <f>12</f>
        <v>12</v>
      </c>
      <c r="F753" s="92">
        <f aca="true" t="shared" si="44" ref="F753:L753">F645+F741+F752</f>
        <v>3366.6500000000005</v>
      </c>
      <c r="G753" s="92">
        <f t="shared" si="44"/>
        <v>3303.221276742581</v>
      </c>
      <c r="H753" s="92" t="e">
        <f t="shared" si="44"/>
        <v>#REF!</v>
      </c>
      <c r="I753" s="159" t="e">
        <f t="shared" si="44"/>
        <v>#REF!</v>
      </c>
      <c r="J753" s="160" t="e">
        <f t="shared" si="44"/>
        <v>#REF!</v>
      </c>
      <c r="K753" s="161" t="e">
        <f t="shared" si="44"/>
        <v>#REF!</v>
      </c>
      <c r="L753" s="162" t="e">
        <f t="shared" si="44"/>
        <v>#REF!</v>
      </c>
      <c r="M753" s="92" t="e">
        <f t="shared" si="43"/>
        <v>#REF!</v>
      </c>
      <c r="O753" s="147"/>
      <c r="P753" s="122"/>
    </row>
    <row r="754" spans="1:12" ht="12.75">
      <c r="A754" s="90"/>
      <c r="B754" s="90"/>
      <c r="D754" s="91"/>
      <c r="E754" s="92"/>
      <c r="F754" s="99"/>
      <c r="G754" s="99"/>
      <c r="H754" s="92" t="e">
        <f>I753+J753+K753+L753</f>
        <v>#REF!</v>
      </c>
      <c r="I754" s="163" t="e">
        <f>1.1*I753</f>
        <v>#REF!</v>
      </c>
      <c r="J754" s="164"/>
      <c r="L754" s="164"/>
    </row>
    <row r="755" spans="1:12" ht="12.75">
      <c r="A755" s="115"/>
      <c r="B755" s="115"/>
      <c r="I755" s="165">
        <f>A645*3.5+A741*3.5++A752*1.5</f>
        <v>2127.95</v>
      </c>
      <c r="L755" s="96" t="e">
        <f>J753+I754</f>
        <v>#REF!</v>
      </c>
    </row>
    <row r="756" spans="1:5" ht="12.75">
      <c r="A756" s="52"/>
      <c r="B756" s="52"/>
      <c r="D756" s="52"/>
      <c r="E756" s="52"/>
    </row>
    <row r="757" spans="1:5" ht="12.75">
      <c r="A757" s="52"/>
      <c r="B757" s="52"/>
      <c r="D757" s="52"/>
      <c r="E757" s="52"/>
    </row>
    <row r="758" spans="1:5" ht="12.75">
      <c r="A758" s="52"/>
      <c r="B758" s="52"/>
      <c r="D758" s="52"/>
      <c r="E758" s="52"/>
    </row>
    <row r="759" spans="1:5" ht="12.75">
      <c r="A759" s="52"/>
      <c r="B759" s="52"/>
      <c r="D759" s="52"/>
      <c r="E759" s="52"/>
    </row>
    <row r="760" spans="1:5" ht="12.75">
      <c r="A760" s="52"/>
      <c r="B760" s="52"/>
      <c r="D760" s="52"/>
      <c r="E760" s="52"/>
    </row>
    <row r="761" spans="1:5" ht="12.75">
      <c r="A761" s="52"/>
      <c r="B761" s="52"/>
      <c r="D761" s="52"/>
      <c r="E761" s="52"/>
    </row>
    <row r="762" spans="1:5" ht="12.75">
      <c r="A762" s="52"/>
      <c r="B762" s="52"/>
      <c r="D762" s="52"/>
      <c r="E762" s="52"/>
    </row>
    <row r="763" spans="1:5" ht="12.75">
      <c r="A763" s="52"/>
      <c r="B763" s="52"/>
      <c r="D763" s="52"/>
      <c r="E763" s="52"/>
    </row>
    <row r="764" spans="1:5" ht="12.75">
      <c r="A764" s="52"/>
      <c r="B764" s="52"/>
      <c r="D764" s="52"/>
      <c r="E764" s="52"/>
    </row>
    <row r="765" spans="1:5" ht="12.75">
      <c r="A765" s="52"/>
      <c r="B765" s="52"/>
      <c r="D765" s="52"/>
      <c r="E765" s="52"/>
    </row>
    <row r="766" spans="1:5" ht="12.75">
      <c r="A766" s="52"/>
      <c r="B766" s="52"/>
      <c r="D766" s="52"/>
      <c r="E766" s="52"/>
    </row>
    <row r="767" spans="1:5" ht="12.75">
      <c r="A767" s="52"/>
      <c r="B767" s="52"/>
      <c r="D767" s="52"/>
      <c r="E767" s="52"/>
    </row>
    <row r="768" spans="1:5" ht="12.75">
      <c r="A768" s="52"/>
      <c r="B768" s="52"/>
      <c r="D768" s="52"/>
      <c r="E768" s="52"/>
    </row>
    <row r="769" spans="1:5" ht="12.75">
      <c r="A769" s="52"/>
      <c r="B769" s="52"/>
      <c r="D769" s="52"/>
      <c r="E769" s="52"/>
    </row>
    <row r="770" spans="1:5" ht="12.75">
      <c r="A770" s="52"/>
      <c r="B770" s="52"/>
      <c r="D770" s="52"/>
      <c r="E770" s="52"/>
    </row>
    <row r="771" spans="1:5" ht="12.75">
      <c r="A771" s="52"/>
      <c r="B771" s="52"/>
      <c r="D771" s="52"/>
      <c r="E771" s="52"/>
    </row>
    <row r="772" spans="1:5" ht="12.75">
      <c r="A772" s="52"/>
      <c r="B772" s="52"/>
      <c r="D772" s="52"/>
      <c r="E772" s="52"/>
    </row>
    <row r="773" spans="1:5" ht="12.75">
      <c r="A773" s="52"/>
      <c r="B773" s="52"/>
      <c r="D773" s="52"/>
      <c r="E773" s="52"/>
    </row>
    <row r="774" spans="1:5" ht="12.75">
      <c r="A774" s="52"/>
      <c r="B774" s="52"/>
      <c r="D774" s="52"/>
      <c r="E774" s="52"/>
    </row>
    <row r="775" spans="1:5" ht="12.75">
      <c r="A775" s="52"/>
      <c r="B775" s="52"/>
      <c r="D775" s="52"/>
      <c r="E775" s="52"/>
    </row>
    <row r="776" spans="1:5" ht="12.75">
      <c r="A776" s="52"/>
      <c r="B776" s="52"/>
      <c r="D776" s="52"/>
      <c r="E776" s="52"/>
    </row>
    <row r="777" spans="1:5" ht="12.75">
      <c r="A777" s="52"/>
      <c r="B777" s="52"/>
      <c r="D777" s="52"/>
      <c r="E777" s="52"/>
    </row>
    <row r="778" spans="1:5" ht="12.75">
      <c r="A778" s="52"/>
      <c r="B778" s="52"/>
      <c r="D778" s="52"/>
      <c r="E778" s="52"/>
    </row>
    <row r="779" spans="1:5" ht="12.75">
      <c r="A779" s="52"/>
      <c r="B779" s="52"/>
      <c r="D779" s="52"/>
      <c r="E779" s="52"/>
    </row>
    <row r="780" spans="1:5" ht="12.75">
      <c r="A780" s="52"/>
      <c r="B780" s="52"/>
      <c r="D780" s="52"/>
      <c r="E780" s="52"/>
    </row>
    <row r="781" spans="1:5" ht="12.75">
      <c r="A781" s="52"/>
      <c r="B781" s="52"/>
      <c r="D781" s="52"/>
      <c r="E781" s="52"/>
    </row>
    <row r="782" spans="1:5" ht="12.75">
      <c r="A782" s="52"/>
      <c r="B782" s="52"/>
      <c r="D782" s="52"/>
      <c r="E782" s="52"/>
    </row>
    <row r="783" spans="1:5" ht="12.75">
      <c r="A783" s="52"/>
      <c r="B783" s="52"/>
      <c r="D783" s="52"/>
      <c r="E783" s="52"/>
    </row>
    <row r="784" spans="1:5" ht="12.75">
      <c r="A784" s="52"/>
      <c r="B784" s="52"/>
      <c r="D784" s="52"/>
      <c r="E784" s="52"/>
    </row>
    <row r="785" spans="1:5" ht="12.75">
      <c r="A785" s="52"/>
      <c r="B785" s="52"/>
      <c r="D785" s="52"/>
      <c r="E785" s="52"/>
    </row>
    <row r="786" spans="1:5" ht="12.75">
      <c r="A786" s="52"/>
      <c r="B786" s="52"/>
      <c r="D786" s="52"/>
      <c r="E786" s="52"/>
    </row>
    <row r="787" spans="1:5" ht="12.75">
      <c r="A787" s="52"/>
      <c r="B787" s="52"/>
      <c r="D787" s="52"/>
      <c r="E787" s="52"/>
    </row>
    <row r="788" spans="1:5" ht="12.75">
      <c r="A788" s="52"/>
      <c r="B788" s="52"/>
      <c r="D788" s="52"/>
      <c r="E788" s="52"/>
    </row>
    <row r="789" spans="1:5" ht="12.75">
      <c r="A789" s="52"/>
      <c r="B789" s="52"/>
      <c r="D789" s="52"/>
      <c r="E789" s="52"/>
    </row>
    <row r="790" spans="1:5" ht="12.75">
      <c r="A790" s="52"/>
      <c r="B790" s="52"/>
      <c r="D790" s="52"/>
      <c r="E790" s="52"/>
    </row>
    <row r="791" spans="1:5" ht="12.75">
      <c r="A791" s="52"/>
      <c r="B791" s="52"/>
      <c r="D791" s="52"/>
      <c r="E791" s="52"/>
    </row>
    <row r="792" spans="1:5" ht="12.75">
      <c r="A792" s="52"/>
      <c r="B792" s="52"/>
      <c r="D792" s="52"/>
      <c r="E792" s="52"/>
    </row>
    <row r="793" spans="1:5" ht="12.75">
      <c r="A793" s="52"/>
      <c r="B793" s="52"/>
      <c r="D793" s="52"/>
      <c r="E793" s="52"/>
    </row>
    <row r="794" spans="1:5" ht="12.75">
      <c r="A794" s="52"/>
      <c r="B794" s="52"/>
      <c r="D794" s="52"/>
      <c r="E794" s="52"/>
    </row>
    <row r="795" spans="1:5" ht="12.75">
      <c r="A795" s="52"/>
      <c r="B795" s="52"/>
      <c r="D795" s="52"/>
      <c r="E795" s="52"/>
    </row>
    <row r="796" spans="1:5" ht="12.75">
      <c r="A796" s="52"/>
      <c r="B796" s="52"/>
      <c r="D796" s="52"/>
      <c r="E796" s="52"/>
    </row>
    <row r="797" spans="1:5" ht="12.75">
      <c r="A797" s="52"/>
      <c r="B797" s="52"/>
      <c r="D797" s="52"/>
      <c r="E797" s="52"/>
    </row>
    <row r="798" spans="1:5" ht="12.75">
      <c r="A798" s="52"/>
      <c r="B798" s="52"/>
      <c r="D798" s="52"/>
      <c r="E798" s="52"/>
    </row>
    <row r="799" spans="1:5" ht="12.75">
      <c r="A799" s="52"/>
      <c r="B799" s="52"/>
      <c r="D799" s="52"/>
      <c r="E799" s="52"/>
    </row>
    <row r="800" spans="1:5" ht="12.75">
      <c r="A800" s="52"/>
      <c r="B800" s="52"/>
      <c r="D800" s="52"/>
      <c r="E800" s="52"/>
    </row>
    <row r="801" spans="1:5" ht="12.75">
      <c r="A801" s="52"/>
      <c r="B801" s="52"/>
      <c r="D801" s="52"/>
      <c r="E801" s="52"/>
    </row>
    <row r="802" spans="1:5" ht="12.75">
      <c r="A802" s="52"/>
      <c r="B802" s="52"/>
      <c r="D802" s="52"/>
      <c r="E802" s="52"/>
    </row>
    <row r="803" spans="1:5" ht="12.75">
      <c r="A803" s="52"/>
      <c r="B803" s="52"/>
      <c r="D803" s="52"/>
      <c r="E803" s="52"/>
    </row>
    <row r="804" spans="1:5" ht="12.75">
      <c r="A804" s="52"/>
      <c r="B804" s="52"/>
      <c r="D804" s="52"/>
      <c r="E804" s="52"/>
    </row>
    <row r="805" spans="1:5" ht="12.75">
      <c r="A805" s="52"/>
      <c r="B805" s="52"/>
      <c r="D805" s="52"/>
      <c r="E805" s="52"/>
    </row>
    <row r="806" spans="1:5" ht="12.75">
      <c r="A806" s="52"/>
      <c r="B806" s="52"/>
      <c r="D806" s="52"/>
      <c r="E806" s="52"/>
    </row>
    <row r="807" spans="1:5" ht="12.75">
      <c r="A807" s="52"/>
      <c r="B807" s="52"/>
      <c r="D807" s="52"/>
      <c r="E807" s="52"/>
    </row>
    <row r="808" spans="1:5" ht="12.75">
      <c r="A808" s="52"/>
      <c r="B808" s="52"/>
      <c r="D808" s="52"/>
      <c r="E808" s="52"/>
    </row>
    <row r="809" spans="1:5" ht="12.75">
      <c r="A809" s="52"/>
      <c r="B809" s="52"/>
      <c r="D809" s="52"/>
      <c r="E809" s="52"/>
    </row>
    <row r="810" spans="1:5" ht="12.75">
      <c r="A810" s="52"/>
      <c r="B810" s="52"/>
      <c r="D810" s="52"/>
      <c r="E810" s="52"/>
    </row>
    <row r="811" spans="1:5" ht="12.75">
      <c r="A811" s="52"/>
      <c r="B811" s="52"/>
      <c r="D811" s="52"/>
      <c r="E811" s="52"/>
    </row>
    <row r="812" spans="1:5" ht="12.75">
      <c r="A812" s="52"/>
      <c r="B812" s="52"/>
      <c r="D812" s="52"/>
      <c r="E812" s="52"/>
    </row>
    <row r="813" spans="1:5" ht="12.75">
      <c r="A813" s="52"/>
      <c r="B813" s="52"/>
      <c r="D813" s="52"/>
      <c r="E813" s="52"/>
    </row>
    <row r="814" spans="1:5" ht="12.75">
      <c r="A814" s="52"/>
      <c r="B814" s="52"/>
      <c r="D814" s="52"/>
      <c r="E814" s="52"/>
    </row>
    <row r="815" spans="1:5" ht="12.75">
      <c r="A815" s="52"/>
      <c r="B815" s="52"/>
      <c r="D815" s="52"/>
      <c r="E815" s="52"/>
    </row>
    <row r="816" spans="1:5" ht="12.75">
      <c r="A816" s="52"/>
      <c r="B816" s="52"/>
      <c r="D816" s="52"/>
      <c r="E816" s="52"/>
    </row>
    <row r="817" spans="1:5" ht="12.75">
      <c r="A817" s="52"/>
      <c r="B817" s="52"/>
      <c r="D817" s="52"/>
      <c r="E817" s="52"/>
    </row>
    <row r="818" spans="1:5" ht="12.75">
      <c r="A818" s="52"/>
      <c r="B818" s="52"/>
      <c r="D818" s="52"/>
      <c r="E818" s="52"/>
    </row>
    <row r="819" spans="1:5" ht="12.75">
      <c r="A819" s="52"/>
      <c r="B819" s="52"/>
      <c r="D819" s="52"/>
      <c r="E819" s="52"/>
    </row>
    <row r="820" spans="1:5" ht="12.75">
      <c r="A820" s="52"/>
      <c r="B820" s="52"/>
      <c r="D820" s="52"/>
      <c r="E820" s="52"/>
    </row>
    <row r="821" spans="1:5" ht="12.75">
      <c r="A821" s="52"/>
      <c r="B821" s="52"/>
      <c r="D821" s="52"/>
      <c r="E821" s="52"/>
    </row>
    <row r="822" spans="1:5" ht="12.75">
      <c r="A822" s="52"/>
      <c r="B822" s="52"/>
      <c r="D822" s="52"/>
      <c r="E822" s="52"/>
    </row>
    <row r="823" spans="1:5" ht="12.75">
      <c r="A823" s="52"/>
      <c r="B823" s="52"/>
      <c r="D823" s="52"/>
      <c r="E823" s="52"/>
    </row>
    <row r="824" spans="1:5" ht="12.75">
      <c r="A824" s="52"/>
      <c r="B824" s="52"/>
      <c r="D824" s="52"/>
      <c r="E824" s="52"/>
    </row>
    <row r="825" spans="1:5" ht="12.75">
      <c r="A825" s="52"/>
      <c r="B825" s="52"/>
      <c r="D825" s="52"/>
      <c r="E825" s="52"/>
    </row>
    <row r="826" spans="1:5" ht="12.75">
      <c r="A826" s="52"/>
      <c r="B826" s="52"/>
      <c r="D826" s="52"/>
      <c r="E826" s="52"/>
    </row>
    <row r="827" spans="1:5" ht="12.75">
      <c r="A827" s="52"/>
      <c r="B827" s="52"/>
      <c r="D827" s="52"/>
      <c r="E827" s="52"/>
    </row>
    <row r="828" spans="1:5" ht="12.75">
      <c r="A828" s="52"/>
      <c r="B828" s="52"/>
      <c r="D828" s="52"/>
      <c r="E828" s="52"/>
    </row>
    <row r="829" spans="1:5" ht="12.75">
      <c r="A829" s="52"/>
      <c r="B829" s="52"/>
      <c r="D829" s="52"/>
      <c r="E829" s="52"/>
    </row>
    <row r="830" spans="1:5" ht="12.75">
      <c r="A830" s="52"/>
      <c r="B830" s="52"/>
      <c r="D830" s="52"/>
      <c r="E830" s="52"/>
    </row>
    <row r="831" spans="1:5" ht="12.75">
      <c r="A831" s="52"/>
      <c r="B831" s="52"/>
      <c r="D831" s="52"/>
      <c r="E831" s="52"/>
    </row>
    <row r="832" spans="1:5" ht="12.75">
      <c r="A832" s="52"/>
      <c r="B832" s="52"/>
      <c r="D832" s="52"/>
      <c r="E832" s="52"/>
    </row>
    <row r="833" spans="1:5" ht="12.75">
      <c r="A833" s="52"/>
      <c r="B833" s="52"/>
      <c r="D833" s="52"/>
      <c r="E833" s="52"/>
    </row>
    <row r="834" spans="1:5" ht="12.75">
      <c r="A834" s="52"/>
      <c r="B834" s="52"/>
      <c r="D834" s="52"/>
      <c r="E834" s="52"/>
    </row>
    <row r="835" spans="1:5" ht="12.75">
      <c r="A835" s="52"/>
      <c r="B835" s="52"/>
      <c r="D835" s="52"/>
      <c r="E835" s="52"/>
    </row>
    <row r="836" spans="1:5" ht="12.75">
      <c r="A836" s="52"/>
      <c r="B836" s="52"/>
      <c r="D836" s="52"/>
      <c r="E836" s="52"/>
    </row>
    <row r="837" spans="1:5" ht="12.75">
      <c r="A837" s="52"/>
      <c r="B837" s="52"/>
      <c r="D837" s="52"/>
      <c r="E837" s="52"/>
    </row>
    <row r="838" spans="1:5" ht="12.75">
      <c r="A838" s="52"/>
      <c r="B838" s="52"/>
      <c r="D838" s="52"/>
      <c r="E838" s="52"/>
    </row>
    <row r="839" spans="1:5" ht="12.75">
      <c r="A839" s="52"/>
      <c r="B839" s="52"/>
      <c r="D839" s="52"/>
      <c r="E839" s="52"/>
    </row>
    <row r="840" spans="1:5" ht="12.75">
      <c r="A840" s="52"/>
      <c r="B840" s="52"/>
      <c r="D840" s="52"/>
      <c r="E840" s="52"/>
    </row>
    <row r="841" spans="1:5" ht="12.75">
      <c r="A841" s="52"/>
      <c r="B841" s="52"/>
      <c r="D841" s="52"/>
      <c r="E841" s="52"/>
    </row>
    <row r="842" spans="1:5" ht="12.75">
      <c r="A842" s="52"/>
      <c r="B842" s="52"/>
      <c r="D842" s="52"/>
      <c r="E842" s="52"/>
    </row>
    <row r="843" spans="1:5" ht="12.75">
      <c r="A843" s="52"/>
      <c r="B843" s="52"/>
      <c r="D843" s="52"/>
      <c r="E843" s="52"/>
    </row>
    <row r="844" spans="1:5" ht="12.75">
      <c r="A844" s="52"/>
      <c r="B844" s="52"/>
      <c r="D844" s="52"/>
      <c r="E844" s="52"/>
    </row>
    <row r="845" spans="1:5" ht="12.75">
      <c r="A845" s="52"/>
      <c r="B845" s="52"/>
      <c r="D845" s="52"/>
      <c r="E845" s="52"/>
    </row>
    <row r="846" spans="1:5" ht="12.75">
      <c r="A846" s="52"/>
      <c r="B846" s="52"/>
      <c r="D846" s="52"/>
      <c r="E846" s="52"/>
    </row>
    <row r="847" spans="1:5" ht="12.75">
      <c r="A847" s="52"/>
      <c r="B847" s="52"/>
      <c r="D847" s="52"/>
      <c r="E847" s="52"/>
    </row>
    <row r="848" spans="1:5" ht="12.75">
      <c r="A848" s="52"/>
      <c r="B848" s="52"/>
      <c r="D848" s="52"/>
      <c r="E848" s="52"/>
    </row>
    <row r="849" spans="1:5" ht="12.75">
      <c r="A849" s="52"/>
      <c r="B849" s="52"/>
      <c r="D849" s="52"/>
      <c r="E849" s="52"/>
    </row>
    <row r="850" spans="1:5" ht="12.75">
      <c r="A850" s="52"/>
      <c r="B850" s="52"/>
      <c r="D850" s="52"/>
      <c r="E850" s="52"/>
    </row>
    <row r="851" spans="1:5" ht="12.75">
      <c r="A851" s="52"/>
      <c r="B851" s="52"/>
      <c r="D851" s="52"/>
      <c r="E851" s="52"/>
    </row>
    <row r="852" spans="1:5" ht="12.75">
      <c r="A852" s="52"/>
      <c r="B852" s="52"/>
      <c r="D852" s="52"/>
      <c r="E852" s="52"/>
    </row>
    <row r="853" spans="1:5" ht="12.75">
      <c r="A853" s="52"/>
      <c r="B853" s="52"/>
      <c r="D853" s="52"/>
      <c r="E853" s="52"/>
    </row>
    <row r="854" spans="1:5" ht="12.75">
      <c r="A854" s="52"/>
      <c r="B854" s="52"/>
      <c r="D854" s="52"/>
      <c r="E854" s="52"/>
    </row>
    <row r="855" spans="1:5" ht="12.75">
      <c r="A855" s="52"/>
      <c r="B855" s="52"/>
      <c r="D855" s="52"/>
      <c r="E855" s="52"/>
    </row>
    <row r="856" spans="1:5" ht="12.75">
      <c r="A856" s="52"/>
      <c r="B856" s="52"/>
      <c r="D856" s="52"/>
      <c r="E856" s="52"/>
    </row>
    <row r="857" spans="1:5" ht="12.75">
      <c r="A857" s="52"/>
      <c r="B857" s="52"/>
      <c r="D857" s="52"/>
      <c r="E857" s="52"/>
    </row>
    <row r="858" spans="1:5" ht="12.75">
      <c r="A858" s="52"/>
      <c r="B858" s="52"/>
      <c r="D858" s="52"/>
      <c r="E858" s="52"/>
    </row>
    <row r="859" spans="1:5" ht="12.75">
      <c r="A859" s="52"/>
      <c r="B859" s="52"/>
      <c r="D859" s="52"/>
      <c r="E859" s="52"/>
    </row>
    <row r="860" spans="1:5" ht="12.75">
      <c r="A860" s="52"/>
      <c r="B860" s="52"/>
      <c r="D860" s="52"/>
      <c r="E860" s="52"/>
    </row>
    <row r="861" spans="1:5" ht="12.75">
      <c r="A861" s="52"/>
      <c r="B861" s="52"/>
      <c r="D861" s="52"/>
      <c r="E861" s="52"/>
    </row>
    <row r="862" spans="1:5" ht="12.75">
      <c r="A862" s="52"/>
      <c r="B862" s="52"/>
      <c r="D862" s="52"/>
      <c r="E862" s="52"/>
    </row>
    <row r="863" spans="1:5" ht="12.75">
      <c r="A863" s="52"/>
      <c r="B863" s="52"/>
      <c r="D863" s="52"/>
      <c r="E863" s="52"/>
    </row>
    <row r="864" spans="1:5" ht="12.75">
      <c r="A864" s="52"/>
      <c r="B864" s="52"/>
      <c r="D864" s="52"/>
      <c r="E864" s="52"/>
    </row>
    <row r="865" spans="1:5" ht="12.75">
      <c r="A865" s="52"/>
      <c r="B865" s="52"/>
      <c r="D865" s="52"/>
      <c r="E865" s="52"/>
    </row>
    <row r="866" spans="1:5" ht="12.75">
      <c r="A866" s="52"/>
      <c r="B866" s="52"/>
      <c r="D866" s="52"/>
      <c r="E866" s="52"/>
    </row>
    <row r="867" spans="1:5" ht="12.75">
      <c r="A867" s="52"/>
      <c r="B867" s="52"/>
      <c r="D867" s="52"/>
      <c r="E867" s="52"/>
    </row>
    <row r="868" spans="1:5" ht="12.75">
      <c r="A868" s="52"/>
      <c r="B868" s="52"/>
      <c r="D868" s="52"/>
      <c r="E868" s="52"/>
    </row>
    <row r="869" spans="1:5" ht="12.75">
      <c r="A869" s="52"/>
      <c r="B869" s="52"/>
      <c r="D869" s="52"/>
      <c r="E869" s="52"/>
    </row>
    <row r="870" spans="1:5" ht="12.75">
      <c r="A870" s="52"/>
      <c r="B870" s="52"/>
      <c r="D870" s="52"/>
      <c r="E870" s="52"/>
    </row>
    <row r="871" spans="1:5" ht="12.75">
      <c r="A871" s="52"/>
      <c r="B871" s="52"/>
      <c r="D871" s="52"/>
      <c r="E871" s="52"/>
    </row>
    <row r="872" spans="1:5" ht="12.75">
      <c r="A872" s="52"/>
      <c r="B872" s="52"/>
      <c r="D872" s="52"/>
      <c r="E872" s="52"/>
    </row>
    <row r="873" spans="1:5" ht="12.75">
      <c r="A873" s="52"/>
      <c r="B873" s="52"/>
      <c r="D873" s="52"/>
      <c r="E873" s="52"/>
    </row>
    <row r="874" spans="1:5" ht="12.75">
      <c r="A874" s="52"/>
      <c r="B874" s="52"/>
      <c r="D874" s="52"/>
      <c r="E874" s="52"/>
    </row>
    <row r="875" spans="1:5" ht="12.75">
      <c r="A875" s="52"/>
      <c r="B875" s="52"/>
      <c r="D875" s="52"/>
      <c r="E875" s="52"/>
    </row>
    <row r="876" spans="1:5" ht="12.75">
      <c r="A876" s="52"/>
      <c r="B876" s="52"/>
      <c r="D876" s="52"/>
      <c r="E876" s="52"/>
    </row>
    <row r="877" spans="1:5" ht="12.75">
      <c r="A877" s="52"/>
      <c r="B877" s="52"/>
      <c r="D877" s="52"/>
      <c r="E877" s="52"/>
    </row>
    <row r="878" spans="1:5" ht="12.75">
      <c r="A878" s="52"/>
      <c r="B878" s="52"/>
      <c r="D878" s="52"/>
      <c r="E878" s="52"/>
    </row>
    <row r="879" spans="1:5" ht="12.75">
      <c r="A879" s="166"/>
      <c r="B879" s="166"/>
      <c r="C879" s="113"/>
      <c r="D879" s="91"/>
      <c r="E879" s="167"/>
    </row>
  </sheetData>
  <sheetProtection selectLockedCells="1" selectUnlockedCells="1"/>
  <mergeCells count="20">
    <mergeCell ref="A7:B7"/>
    <mergeCell ref="C22:G22"/>
    <mergeCell ref="K22:P22"/>
    <mergeCell ref="I24:J24"/>
    <mergeCell ref="F12:K12"/>
    <mergeCell ref="L12:P12"/>
    <mergeCell ref="C16:K16"/>
    <mergeCell ref="C17:K17"/>
    <mergeCell ref="D12:D13"/>
    <mergeCell ref="E12:E13"/>
    <mergeCell ref="A21:B21"/>
    <mergeCell ref="I21:J21"/>
    <mergeCell ref="A1:P1"/>
    <mergeCell ref="A2:P2"/>
    <mergeCell ref="M10:N10"/>
    <mergeCell ref="O10:P10"/>
    <mergeCell ref="E11:P11"/>
    <mergeCell ref="A12:A13"/>
    <mergeCell ref="B12:B13"/>
    <mergeCell ref="C12:C13"/>
  </mergeCells>
  <printOptions horizontalCentered="1"/>
  <pageMargins left="0.4701388888888889" right="0.3701388888888889" top="0.5701388888888889" bottom="0.2597222222222222" header="0.5118055555555555" footer="0.19652777777777777"/>
  <pageSetup firstPageNumber="1" useFirstPageNumber="1" horizontalDpi="300" verticalDpi="300" orientation="landscape" paperSize="9" scale="62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R154"/>
  <sheetViews>
    <sheetView showZeros="0" tabSelected="1" view="pageBreakPreview" zoomScale="70" zoomScaleNormal="55" zoomScaleSheetLayoutView="70" zoomScalePageLayoutView="0" workbookViewId="0" topLeftCell="A1">
      <selection activeCell="F14" sqref="F14"/>
    </sheetView>
  </sheetViews>
  <sheetFormatPr defaultColWidth="33.296875" defaultRowHeight="15.75"/>
  <cols>
    <col min="1" max="1" width="5.796875" style="184" customWidth="1"/>
    <col min="2" max="2" width="6.69921875" style="184" customWidth="1"/>
    <col min="3" max="3" width="26.59765625" style="170" customWidth="1"/>
    <col min="4" max="4" width="5.59765625" style="185" customWidth="1"/>
    <col min="5" max="5" width="9.69921875" style="184" customWidth="1"/>
    <col min="6" max="6" width="5.3984375" style="170" customWidth="1"/>
    <col min="7" max="7" width="7.796875" style="170" customWidth="1"/>
    <col min="8" max="8" width="7.59765625" style="186" customWidth="1"/>
    <col min="9" max="9" width="8.19921875" style="186" customWidth="1"/>
    <col min="10" max="10" width="7.59765625" style="170" customWidth="1"/>
    <col min="11" max="11" width="9.8984375" style="170" customWidth="1"/>
    <col min="12" max="12" width="9.296875" style="170" customWidth="1"/>
    <col min="13" max="13" width="10.3984375" style="170" customWidth="1"/>
    <col min="14" max="14" width="10.796875" style="170" customWidth="1"/>
    <col min="15" max="16" width="10.296875" style="170" customWidth="1"/>
    <col min="17" max="34" width="10.19921875" style="170" customWidth="1"/>
    <col min="35" max="16384" width="33.296875" style="170" customWidth="1"/>
  </cols>
  <sheetData>
    <row r="1" spans="1:16" s="52" customFormat="1" ht="19.5" customHeight="1">
      <c r="A1" s="408" t="s">
        <v>363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</row>
    <row r="2" spans="1:16" s="52" customFormat="1" ht="19.5" customHeight="1">
      <c r="A2" s="420" t="s">
        <v>364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</row>
    <row r="3" spans="1:16" s="52" customFormat="1" ht="19.5" customHeight="1">
      <c r="A3" s="53" t="str">
        <f>'1-1 (1)'!A3</f>
        <v>Būves nosaukums:     Tautas nama "Kalngravas" rekonstrukcija- 2. kārta </v>
      </c>
      <c r="B3" s="53"/>
      <c r="C3" s="54"/>
      <c r="D3" s="55"/>
      <c r="E3" s="55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s="52" customFormat="1" ht="19.5" customHeight="1">
      <c r="A4" s="53" t="s">
        <v>44</v>
      </c>
      <c r="B4" s="53"/>
      <c r="C4" s="54"/>
      <c r="D4" s="55"/>
      <c r="E4" s="55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s="52" customFormat="1" ht="19.5" customHeight="1">
      <c r="A5" s="53" t="s">
        <v>365</v>
      </c>
      <c r="B5" s="53"/>
      <c r="C5" s="54"/>
      <c r="D5" s="55"/>
      <c r="E5" s="55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6" s="52" customFormat="1" ht="19.5" customHeight="1">
      <c r="A6" s="53" t="s">
        <v>844</v>
      </c>
      <c r="B6" s="53"/>
      <c r="C6" s="57" t="s">
        <v>845</v>
      </c>
      <c r="D6" s="55"/>
      <c r="E6" s="55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8" s="4" customFormat="1" ht="25.5" customHeight="1">
      <c r="A7" s="391" t="s">
        <v>852</v>
      </c>
      <c r="B7" s="391"/>
      <c r="C7" s="386"/>
      <c r="D7" s="386"/>
      <c r="E7" s="386"/>
      <c r="F7" s="386"/>
      <c r="G7" s="386"/>
      <c r="H7" s="386"/>
    </row>
    <row r="8" spans="1:16" s="52" customFormat="1" ht="19.5" customHeight="1">
      <c r="A8" s="53" t="s">
        <v>46</v>
      </c>
      <c r="B8" s="53"/>
      <c r="C8" s="54"/>
      <c r="D8" s="55"/>
      <c r="E8" s="55"/>
      <c r="F8" s="56"/>
      <c r="G8" s="56"/>
      <c r="H8" s="56"/>
      <c r="I8" s="56"/>
      <c r="J8" s="56"/>
      <c r="K8" s="60"/>
      <c r="L8" s="56"/>
      <c r="M8" s="410" t="s">
        <v>47</v>
      </c>
      <c r="N8" s="410"/>
      <c r="O8" s="411">
        <f>P19</f>
        <v>0</v>
      </c>
      <c r="P8" s="411"/>
    </row>
    <row r="9" spans="1:16" ht="15" customHeight="1">
      <c r="A9" s="168"/>
      <c r="B9" s="168"/>
      <c r="C9" s="168"/>
      <c r="D9" s="169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</row>
    <row r="10" spans="1:16" s="52" customFormat="1" ht="19.5" customHeight="1">
      <c r="A10" s="413" t="s">
        <v>4</v>
      </c>
      <c r="B10" s="413" t="s">
        <v>48</v>
      </c>
      <c r="C10" s="414" t="s">
        <v>49</v>
      </c>
      <c r="D10" s="413" t="s">
        <v>50</v>
      </c>
      <c r="E10" s="413" t="s">
        <v>51</v>
      </c>
      <c r="F10" s="417" t="s">
        <v>52</v>
      </c>
      <c r="G10" s="417"/>
      <c r="H10" s="417"/>
      <c r="I10" s="417"/>
      <c r="J10" s="417"/>
      <c r="K10" s="417"/>
      <c r="L10" s="417" t="s">
        <v>53</v>
      </c>
      <c r="M10" s="417"/>
      <c r="N10" s="417"/>
      <c r="O10" s="417"/>
      <c r="P10" s="417"/>
    </row>
    <row r="11" spans="1:16" s="52" customFormat="1" ht="99.75" customHeight="1">
      <c r="A11" s="413"/>
      <c r="B11" s="413"/>
      <c r="C11" s="414"/>
      <c r="D11" s="413"/>
      <c r="E11" s="413"/>
      <c r="F11" s="21" t="s">
        <v>54</v>
      </c>
      <c r="G11" s="21" t="s">
        <v>55</v>
      </c>
      <c r="H11" s="21" t="s">
        <v>56</v>
      </c>
      <c r="I11" s="21" t="s">
        <v>57</v>
      </c>
      <c r="J11" s="21" t="s">
        <v>58</v>
      </c>
      <c r="K11" s="21" t="s">
        <v>59</v>
      </c>
      <c r="L11" s="21" t="s">
        <v>60</v>
      </c>
      <c r="M11" s="21" t="s">
        <v>56</v>
      </c>
      <c r="N11" s="21" t="s">
        <v>57</v>
      </c>
      <c r="O11" s="21" t="s">
        <v>58</v>
      </c>
      <c r="P11" s="21" t="s">
        <v>61</v>
      </c>
    </row>
    <row r="12" spans="1:16" s="52" customFormat="1" ht="38.25" customHeight="1">
      <c r="A12" s="61">
        <v>1</v>
      </c>
      <c r="B12" s="171"/>
      <c r="C12" s="172" t="s">
        <v>366</v>
      </c>
      <c r="D12" s="64"/>
      <c r="E12" s="173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1:16" s="52" customFormat="1" ht="38.25" customHeight="1">
      <c r="A13" s="61">
        <v>2</v>
      </c>
      <c r="B13" s="62" t="s">
        <v>367</v>
      </c>
      <c r="C13" s="174" t="s">
        <v>368</v>
      </c>
      <c r="D13" s="64" t="s">
        <v>369</v>
      </c>
      <c r="E13" s="173">
        <v>9</v>
      </c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1:16" s="52" customFormat="1" ht="38.25" customHeight="1">
      <c r="A14" s="61">
        <v>3</v>
      </c>
      <c r="B14" s="62" t="s">
        <v>370</v>
      </c>
      <c r="C14" s="174" t="s">
        <v>371</v>
      </c>
      <c r="D14" s="64" t="s">
        <v>372</v>
      </c>
      <c r="E14" s="173">
        <v>87.3</v>
      </c>
      <c r="F14" s="66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1:16" s="52" customFormat="1" ht="38.25" customHeight="1">
      <c r="A15" s="61">
        <v>4</v>
      </c>
      <c r="B15" s="62" t="s">
        <v>373</v>
      </c>
      <c r="C15" s="174" t="s">
        <v>374</v>
      </c>
      <c r="D15" s="64" t="s">
        <v>65</v>
      </c>
      <c r="E15" s="173">
        <v>1.85</v>
      </c>
      <c r="F15" s="66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1:16" s="52" customFormat="1" ht="38.25" customHeight="1">
      <c r="A16" s="61">
        <v>5</v>
      </c>
      <c r="B16" s="62" t="s">
        <v>375</v>
      </c>
      <c r="C16" s="174" t="s">
        <v>376</v>
      </c>
      <c r="D16" s="175" t="s">
        <v>377</v>
      </c>
      <c r="E16" s="176">
        <v>0.08</v>
      </c>
      <c r="F16" s="177"/>
      <c r="G16" s="67"/>
      <c r="H16" s="178"/>
      <c r="I16" s="178"/>
      <c r="J16" s="178"/>
      <c r="K16" s="178"/>
      <c r="L16" s="178"/>
      <c r="M16" s="178"/>
      <c r="N16" s="178"/>
      <c r="O16" s="178"/>
      <c r="P16" s="178"/>
    </row>
    <row r="17" spans="1:18" s="179" customFormat="1" ht="30" customHeight="1">
      <c r="A17" s="70"/>
      <c r="B17" s="70"/>
      <c r="C17" s="71" t="s">
        <v>7</v>
      </c>
      <c r="D17" s="71"/>
      <c r="E17" s="71"/>
      <c r="F17" s="71"/>
      <c r="G17" s="71"/>
      <c r="H17" s="71"/>
      <c r="I17" s="71"/>
      <c r="J17" s="71"/>
      <c r="K17" s="71"/>
      <c r="L17" s="73"/>
      <c r="M17" s="73"/>
      <c r="N17" s="73"/>
      <c r="O17" s="73"/>
      <c r="P17" s="73"/>
      <c r="R17" s="180"/>
    </row>
    <row r="18" spans="1:16" s="179" customFormat="1" ht="30" customHeight="1">
      <c r="A18" s="181"/>
      <c r="B18" s="181"/>
      <c r="C18" s="422" t="s">
        <v>849</v>
      </c>
      <c r="D18" s="423"/>
      <c r="E18" s="423"/>
      <c r="F18" s="423"/>
      <c r="G18" s="423"/>
      <c r="H18" s="423"/>
      <c r="I18" s="423"/>
      <c r="J18" s="423"/>
      <c r="K18" s="424"/>
      <c r="L18" s="182"/>
      <c r="M18" s="182"/>
      <c r="N18" s="182"/>
      <c r="O18" s="182"/>
      <c r="P18" s="77"/>
    </row>
    <row r="19" spans="1:18" s="179" customFormat="1" ht="30" customHeight="1">
      <c r="A19" s="181"/>
      <c r="B19" s="181"/>
      <c r="C19" s="419" t="s">
        <v>71</v>
      </c>
      <c r="D19" s="419"/>
      <c r="E19" s="419"/>
      <c r="F19" s="419"/>
      <c r="G19" s="419"/>
      <c r="H19" s="419"/>
      <c r="I19" s="419"/>
      <c r="J19" s="419"/>
      <c r="K19" s="419"/>
      <c r="L19" s="182"/>
      <c r="M19" s="182"/>
      <c r="N19" s="182"/>
      <c r="O19" s="182"/>
      <c r="P19" s="77"/>
      <c r="R19" s="183"/>
    </row>
    <row r="20" spans="1:16" ht="15">
      <c r="A20" s="78"/>
      <c r="B20" s="78"/>
      <c r="C20" s="78"/>
      <c r="D20" s="79"/>
      <c r="E20" s="80"/>
      <c r="F20" s="80"/>
      <c r="G20" s="80"/>
      <c r="H20" s="81"/>
      <c r="I20" s="81"/>
      <c r="J20" s="80"/>
      <c r="K20" s="80"/>
      <c r="L20" s="80"/>
      <c r="M20" s="80"/>
      <c r="N20" s="80"/>
      <c r="O20" s="80"/>
      <c r="P20" s="80"/>
    </row>
    <row r="21" spans="1:16" ht="15">
      <c r="A21" s="78"/>
      <c r="B21" s="78"/>
      <c r="C21" s="78"/>
      <c r="D21" s="79"/>
      <c r="E21" s="80"/>
      <c r="F21" s="80"/>
      <c r="G21" s="80"/>
      <c r="H21" s="81"/>
      <c r="I21" s="81"/>
      <c r="J21" s="80"/>
      <c r="K21" s="80"/>
      <c r="L21" s="80"/>
      <c r="M21" s="80"/>
      <c r="N21" s="80"/>
      <c r="O21" s="80"/>
      <c r="P21" s="80"/>
    </row>
    <row r="22" spans="1:16" ht="15">
      <c r="A22" s="78"/>
      <c r="B22" s="78"/>
      <c r="C22" s="78"/>
      <c r="D22" s="79"/>
      <c r="E22" s="80"/>
      <c r="F22" s="80"/>
      <c r="G22" s="80"/>
      <c r="H22" s="81"/>
      <c r="I22" s="81"/>
      <c r="J22" s="80"/>
      <c r="K22" s="80"/>
      <c r="L22" s="80"/>
      <c r="M22" s="80"/>
      <c r="N22" s="80"/>
      <c r="O22" s="80"/>
      <c r="P22" s="80"/>
    </row>
    <row r="23" spans="1:16" s="81" customFormat="1" ht="17.25" customHeight="1">
      <c r="A23" s="406" t="s">
        <v>9</v>
      </c>
      <c r="B23" s="406"/>
      <c r="C23" s="83"/>
      <c r="E23" s="84">
        <f>'1-1 (1)'!E21</f>
        <v>0</v>
      </c>
      <c r="F23" s="85"/>
      <c r="G23" s="85"/>
      <c r="H23" s="86"/>
      <c r="I23" s="407" t="s">
        <v>72</v>
      </c>
      <c r="J23" s="407"/>
      <c r="K23" s="85"/>
      <c r="L23" s="85"/>
      <c r="M23" s="85"/>
      <c r="N23" s="84">
        <f>'1-1 (1)'!N21</f>
        <v>0</v>
      </c>
      <c r="O23" s="85"/>
      <c r="P23" s="85"/>
    </row>
    <row r="24" spans="1:16" s="81" customFormat="1" ht="12.75" customHeight="1">
      <c r="A24" s="82"/>
      <c r="B24" s="82"/>
      <c r="C24" s="415" t="s">
        <v>10</v>
      </c>
      <c r="D24" s="415"/>
      <c r="E24" s="415"/>
      <c r="F24" s="415"/>
      <c r="G24" s="415"/>
      <c r="I24" s="55"/>
      <c r="J24" s="55"/>
      <c r="K24" s="416" t="s">
        <v>10</v>
      </c>
      <c r="L24" s="416"/>
      <c r="M24" s="416"/>
      <c r="N24" s="416"/>
      <c r="O24" s="416"/>
      <c r="P24" s="416"/>
    </row>
    <row r="25" spans="1:16" s="81" customFormat="1" ht="15">
      <c r="A25" s="82"/>
      <c r="B25" s="82"/>
      <c r="C25" s="82"/>
      <c r="D25" s="79"/>
      <c r="E25" s="80"/>
      <c r="F25" s="80"/>
      <c r="G25" s="80"/>
      <c r="J25" s="80"/>
      <c r="K25" s="80"/>
      <c r="L25" s="80"/>
      <c r="M25" s="80"/>
      <c r="N25" s="80"/>
      <c r="O25" s="80"/>
      <c r="P25" s="80"/>
    </row>
    <row r="26" spans="1:16" s="81" customFormat="1" ht="18.75" customHeight="1">
      <c r="A26" s="87"/>
      <c r="B26" s="82"/>
      <c r="C26" s="87"/>
      <c r="D26" s="88"/>
      <c r="E26" s="80"/>
      <c r="F26" s="80"/>
      <c r="G26" s="80"/>
      <c r="I26" s="406" t="s">
        <v>11</v>
      </c>
      <c r="J26" s="406"/>
      <c r="K26" s="83">
        <f>'1-1 (1)'!K24</f>
        <v>0</v>
      </c>
      <c r="L26" s="80"/>
      <c r="M26" s="80"/>
      <c r="N26" s="80"/>
      <c r="O26" s="80"/>
      <c r="P26" s="80"/>
    </row>
    <row r="27" spans="1:16" ht="15">
      <c r="A27" s="78"/>
      <c r="B27" s="78"/>
      <c r="C27" s="78"/>
      <c r="D27" s="79"/>
      <c r="E27" s="80"/>
      <c r="F27" s="80"/>
      <c r="G27" s="80"/>
      <c r="H27" s="81"/>
      <c r="I27" s="81"/>
      <c r="J27" s="80"/>
      <c r="K27" s="80"/>
      <c r="L27" s="80"/>
      <c r="M27" s="80"/>
      <c r="N27" s="80"/>
      <c r="O27" s="80"/>
      <c r="P27" s="80"/>
    </row>
    <row r="28" spans="1:16" ht="12.75">
      <c r="A28" s="90"/>
      <c r="B28" s="90"/>
      <c r="C28" s="90"/>
      <c r="D28" s="91"/>
      <c r="E28" s="92"/>
      <c r="F28" s="92"/>
      <c r="G28" s="92"/>
      <c r="H28" s="52"/>
      <c r="I28" s="52"/>
      <c r="J28" s="92"/>
      <c r="K28" s="92"/>
      <c r="L28" s="92"/>
      <c r="M28" s="92"/>
      <c r="N28" s="92"/>
      <c r="O28" s="92"/>
      <c r="P28" s="92"/>
    </row>
    <row r="29" spans="1:16" ht="12.75">
      <c r="A29" s="90"/>
      <c r="B29" s="90"/>
      <c r="C29" s="90"/>
      <c r="D29" s="91"/>
      <c r="E29" s="92"/>
      <c r="F29" s="92"/>
      <c r="G29" s="92"/>
      <c r="H29" s="52"/>
      <c r="I29" s="52"/>
      <c r="J29" s="92"/>
      <c r="K29" s="92"/>
      <c r="L29" s="92"/>
      <c r="M29" s="92"/>
      <c r="N29" s="92"/>
      <c r="O29" s="92"/>
      <c r="P29" s="92"/>
    </row>
    <row r="30" spans="1:16" ht="12.75">
      <c r="A30" s="90"/>
      <c r="B30" s="90"/>
      <c r="C30" s="90"/>
      <c r="D30" s="91"/>
      <c r="E30" s="92"/>
      <c r="F30" s="92"/>
      <c r="G30" s="92"/>
      <c r="H30" s="52"/>
      <c r="I30" s="52"/>
      <c r="J30" s="92"/>
      <c r="K30" s="92"/>
      <c r="L30" s="92"/>
      <c r="M30" s="92"/>
      <c r="N30" s="92"/>
      <c r="O30" s="92"/>
      <c r="P30" s="92"/>
    </row>
    <row r="31" spans="1:16" ht="12.75">
      <c r="A31" s="90"/>
      <c r="B31" s="90"/>
      <c r="C31" s="90"/>
      <c r="D31" s="91"/>
      <c r="E31" s="92"/>
      <c r="F31" s="92"/>
      <c r="G31" s="92"/>
      <c r="H31" s="52"/>
      <c r="I31" s="52"/>
      <c r="J31" s="92"/>
      <c r="K31" s="92"/>
      <c r="L31" s="92"/>
      <c r="M31" s="92"/>
      <c r="N31" s="92"/>
      <c r="O31" s="92"/>
      <c r="P31" s="92"/>
    </row>
    <row r="32" spans="1:16" ht="12.75">
      <c r="A32" s="90"/>
      <c r="B32" s="90"/>
      <c r="C32" s="90"/>
      <c r="D32" s="91"/>
      <c r="E32" s="92"/>
      <c r="F32" s="92"/>
      <c r="G32" s="92"/>
      <c r="H32" s="52"/>
      <c r="I32" s="52"/>
      <c r="J32" s="92"/>
      <c r="K32" s="92"/>
      <c r="L32" s="92"/>
      <c r="M32" s="92"/>
      <c r="N32" s="92"/>
      <c r="O32" s="92"/>
      <c r="P32" s="92"/>
    </row>
    <row r="33" spans="1:16" ht="12.75">
      <c r="A33" s="90"/>
      <c r="B33" s="90"/>
      <c r="C33" s="90"/>
      <c r="D33" s="91"/>
      <c r="E33" s="92"/>
      <c r="F33" s="92"/>
      <c r="G33" s="92"/>
      <c r="H33" s="52"/>
      <c r="I33" s="52"/>
      <c r="J33" s="92"/>
      <c r="K33" s="92"/>
      <c r="L33" s="92"/>
      <c r="M33" s="92"/>
      <c r="N33" s="92"/>
      <c r="O33" s="92"/>
      <c r="P33" s="92"/>
    </row>
    <row r="34" spans="1:16" ht="12.75">
      <c r="A34" s="90"/>
      <c r="B34" s="90"/>
      <c r="C34" s="90"/>
      <c r="D34" s="91"/>
      <c r="E34" s="92"/>
      <c r="F34" s="92"/>
      <c r="G34" s="92"/>
      <c r="H34" s="52"/>
      <c r="I34" s="52"/>
      <c r="J34" s="92"/>
      <c r="K34" s="92"/>
      <c r="L34" s="92"/>
      <c r="M34" s="92"/>
      <c r="N34" s="92"/>
      <c r="O34" s="92"/>
      <c r="P34" s="92"/>
    </row>
    <row r="35" spans="1:16" ht="12.75">
      <c r="A35" s="90"/>
      <c r="B35" s="90"/>
      <c r="C35" s="90"/>
      <c r="D35" s="91"/>
      <c r="E35" s="92"/>
      <c r="F35" s="92"/>
      <c r="G35" s="92"/>
      <c r="H35" s="52"/>
      <c r="I35" s="52"/>
      <c r="J35" s="92"/>
      <c r="K35" s="92"/>
      <c r="L35" s="92"/>
      <c r="M35" s="92"/>
      <c r="N35" s="92"/>
      <c r="O35" s="92"/>
      <c r="P35" s="92"/>
    </row>
    <row r="36" spans="1:16" ht="12.75">
      <c r="A36" s="90"/>
      <c r="B36" s="90"/>
      <c r="C36" s="90"/>
      <c r="D36" s="91"/>
      <c r="E36" s="92"/>
      <c r="F36" s="92"/>
      <c r="G36" s="92"/>
      <c r="H36" s="52"/>
      <c r="I36" s="52"/>
      <c r="J36" s="92"/>
      <c r="K36" s="92"/>
      <c r="L36" s="92"/>
      <c r="M36" s="92"/>
      <c r="N36" s="92"/>
      <c r="O36" s="92"/>
      <c r="P36" s="92"/>
    </row>
    <row r="37" spans="1:16" ht="12.75">
      <c r="A37" s="90"/>
      <c r="B37" s="90"/>
      <c r="C37" s="90"/>
      <c r="D37" s="91"/>
      <c r="E37" s="92"/>
      <c r="F37" s="92"/>
      <c r="G37" s="92"/>
      <c r="H37" s="52"/>
      <c r="I37" s="52"/>
      <c r="J37" s="92"/>
      <c r="K37" s="92"/>
      <c r="L37" s="92"/>
      <c r="M37" s="92"/>
      <c r="N37" s="92"/>
      <c r="O37" s="92"/>
      <c r="P37" s="92"/>
    </row>
    <row r="38" spans="1:16" ht="12.75">
      <c r="A38" s="90"/>
      <c r="B38" s="90"/>
      <c r="C38" s="90"/>
      <c r="D38" s="91"/>
      <c r="E38" s="92"/>
      <c r="F38" s="92"/>
      <c r="G38" s="92"/>
      <c r="H38" s="52"/>
      <c r="I38" s="52"/>
      <c r="J38" s="92"/>
      <c r="K38" s="92"/>
      <c r="L38" s="92"/>
      <c r="M38" s="92"/>
      <c r="N38" s="92"/>
      <c r="O38" s="92"/>
      <c r="P38" s="92"/>
    </row>
    <row r="39" spans="1:16" ht="12.75">
      <c r="A39" s="90"/>
      <c r="B39" s="90"/>
      <c r="C39" s="90"/>
      <c r="D39" s="91"/>
      <c r="E39" s="92"/>
      <c r="F39" s="92"/>
      <c r="G39" s="92"/>
      <c r="H39" s="52"/>
      <c r="I39" s="52"/>
      <c r="J39" s="92"/>
      <c r="K39" s="92"/>
      <c r="L39" s="92"/>
      <c r="M39" s="92"/>
      <c r="N39" s="92"/>
      <c r="O39" s="92"/>
      <c r="P39" s="92"/>
    </row>
    <row r="40" spans="1:16" ht="12.75">
      <c r="A40" s="90"/>
      <c r="B40" s="90"/>
      <c r="C40" s="90"/>
      <c r="D40" s="91"/>
      <c r="E40" s="92"/>
      <c r="F40" s="92"/>
      <c r="G40" s="92"/>
      <c r="H40" s="52"/>
      <c r="I40" s="52"/>
      <c r="J40" s="92"/>
      <c r="K40" s="92"/>
      <c r="L40" s="92"/>
      <c r="M40" s="92"/>
      <c r="N40" s="92"/>
      <c r="O40" s="92"/>
      <c r="P40" s="92"/>
    </row>
    <row r="41" spans="1:16" ht="12.75">
      <c r="A41" s="90"/>
      <c r="B41" s="90"/>
      <c r="C41" s="90"/>
      <c r="D41" s="91"/>
      <c r="E41" s="92"/>
      <c r="F41" s="92"/>
      <c r="G41" s="92"/>
      <c r="H41" s="52"/>
      <c r="I41" s="52"/>
      <c r="J41" s="92"/>
      <c r="K41" s="92"/>
      <c r="L41" s="92"/>
      <c r="M41" s="92"/>
      <c r="N41" s="92"/>
      <c r="O41" s="92"/>
      <c r="P41" s="92"/>
    </row>
    <row r="42" spans="1:16" ht="12.75">
      <c r="A42" s="90"/>
      <c r="B42" s="90"/>
      <c r="C42" s="90"/>
      <c r="D42" s="91"/>
      <c r="E42" s="92"/>
      <c r="F42" s="92"/>
      <c r="G42" s="92"/>
      <c r="H42" s="52"/>
      <c r="I42" s="52"/>
      <c r="J42" s="92"/>
      <c r="K42" s="92"/>
      <c r="L42" s="92"/>
      <c r="M42" s="92"/>
      <c r="N42" s="92"/>
      <c r="O42" s="92"/>
      <c r="P42" s="92"/>
    </row>
    <row r="43" spans="1:16" ht="12.75">
      <c r="A43" s="90"/>
      <c r="B43" s="90"/>
      <c r="C43" s="90"/>
      <c r="D43" s="91"/>
      <c r="E43" s="92"/>
      <c r="F43" s="92"/>
      <c r="G43" s="92"/>
      <c r="H43" s="52"/>
      <c r="I43" s="52"/>
      <c r="J43" s="92"/>
      <c r="K43" s="92"/>
      <c r="L43" s="92"/>
      <c r="M43" s="92"/>
      <c r="N43" s="92"/>
      <c r="O43" s="92"/>
      <c r="P43" s="92"/>
    </row>
    <row r="44" spans="1:16" ht="12.75">
      <c r="A44" s="90"/>
      <c r="B44" s="90"/>
      <c r="C44" s="90"/>
      <c r="D44" s="91"/>
      <c r="E44" s="92"/>
      <c r="F44" s="92"/>
      <c r="G44" s="92"/>
      <c r="H44" s="52"/>
      <c r="I44" s="52"/>
      <c r="J44" s="92"/>
      <c r="K44" s="92"/>
      <c r="L44" s="92"/>
      <c r="M44" s="92"/>
      <c r="N44" s="92"/>
      <c r="O44" s="92"/>
      <c r="P44" s="92"/>
    </row>
    <row r="45" spans="1:16" ht="12.75">
      <c r="A45" s="90"/>
      <c r="B45" s="90"/>
      <c r="C45" s="90"/>
      <c r="D45" s="91"/>
      <c r="E45" s="92"/>
      <c r="F45" s="92"/>
      <c r="G45" s="92"/>
      <c r="H45" s="52"/>
      <c r="I45" s="52"/>
      <c r="J45" s="92"/>
      <c r="K45" s="92"/>
      <c r="L45" s="92"/>
      <c r="M45" s="92"/>
      <c r="N45" s="92"/>
      <c r="O45" s="92"/>
      <c r="P45" s="92"/>
    </row>
    <row r="46" spans="1:16" ht="12.75">
      <c r="A46" s="90"/>
      <c r="B46" s="90"/>
      <c r="C46" s="90"/>
      <c r="D46" s="91"/>
      <c r="E46" s="92"/>
      <c r="F46" s="92"/>
      <c r="G46" s="92"/>
      <c r="H46" s="52"/>
      <c r="I46" s="52"/>
      <c r="J46" s="92"/>
      <c r="K46" s="92"/>
      <c r="L46" s="92"/>
      <c r="M46" s="92"/>
      <c r="N46" s="92"/>
      <c r="O46" s="92"/>
      <c r="P46" s="92"/>
    </row>
    <row r="47" spans="1:16" ht="12.75">
      <c r="A47" s="90"/>
      <c r="B47" s="90"/>
      <c r="C47" s="90"/>
      <c r="D47" s="91"/>
      <c r="E47" s="92"/>
      <c r="F47" s="92"/>
      <c r="G47" s="92"/>
      <c r="H47" s="52"/>
      <c r="I47" s="52"/>
      <c r="J47" s="92"/>
      <c r="K47" s="92"/>
      <c r="L47" s="92"/>
      <c r="M47" s="92"/>
      <c r="N47" s="92"/>
      <c r="O47" s="92"/>
      <c r="P47" s="92"/>
    </row>
    <row r="48" spans="1:16" ht="12.75">
      <c r="A48" s="90"/>
      <c r="B48" s="90"/>
      <c r="C48" s="90"/>
      <c r="D48" s="91"/>
      <c r="E48" s="92"/>
      <c r="F48" s="92"/>
      <c r="G48" s="92"/>
      <c r="H48" s="52"/>
      <c r="I48" s="52"/>
      <c r="J48" s="92"/>
      <c r="K48" s="92"/>
      <c r="L48" s="92"/>
      <c r="M48" s="92"/>
      <c r="N48" s="92"/>
      <c r="O48" s="92"/>
      <c r="P48" s="92"/>
    </row>
    <row r="49" spans="1:16" ht="12.75">
      <c r="A49" s="90"/>
      <c r="B49" s="90"/>
      <c r="C49" s="90"/>
      <c r="D49" s="91"/>
      <c r="E49" s="92"/>
      <c r="F49" s="92"/>
      <c r="G49" s="92"/>
      <c r="H49" s="52"/>
      <c r="I49" s="52"/>
      <c r="J49" s="92"/>
      <c r="K49" s="92"/>
      <c r="L49" s="92"/>
      <c r="M49" s="92"/>
      <c r="N49" s="92"/>
      <c r="O49" s="92"/>
      <c r="P49" s="92"/>
    </row>
    <row r="50" spans="1:16" ht="12.75">
      <c r="A50" s="90"/>
      <c r="B50" s="90"/>
      <c r="C50" s="90"/>
      <c r="D50" s="91"/>
      <c r="E50" s="92"/>
      <c r="F50" s="92"/>
      <c r="G50" s="92"/>
      <c r="H50" s="52"/>
      <c r="I50" s="52"/>
      <c r="J50" s="92"/>
      <c r="K50" s="92"/>
      <c r="L50" s="92"/>
      <c r="M50" s="92"/>
      <c r="N50" s="92"/>
      <c r="O50" s="92"/>
      <c r="P50" s="92"/>
    </row>
    <row r="51" spans="1:16" ht="12.75">
      <c r="A51" s="90"/>
      <c r="B51" s="90"/>
      <c r="C51" s="90"/>
      <c r="D51" s="91"/>
      <c r="E51" s="92"/>
      <c r="F51" s="92"/>
      <c r="G51" s="92"/>
      <c r="H51" s="52"/>
      <c r="I51" s="52"/>
      <c r="J51" s="92"/>
      <c r="K51" s="92"/>
      <c r="L51" s="92"/>
      <c r="M51" s="92"/>
      <c r="N51" s="92"/>
      <c r="O51" s="92"/>
      <c r="P51" s="92"/>
    </row>
    <row r="52" spans="1:16" ht="12.75">
      <c r="A52" s="90"/>
      <c r="B52" s="90"/>
      <c r="C52" s="90"/>
      <c r="D52" s="91"/>
      <c r="E52" s="92"/>
      <c r="F52" s="92"/>
      <c r="G52" s="92"/>
      <c r="H52" s="52"/>
      <c r="I52" s="52"/>
      <c r="J52" s="92"/>
      <c r="K52" s="92"/>
      <c r="L52" s="92"/>
      <c r="M52" s="92"/>
      <c r="N52" s="92"/>
      <c r="O52" s="92"/>
      <c r="P52" s="92"/>
    </row>
    <row r="53" spans="1:16" ht="12.75">
      <c r="A53" s="90"/>
      <c r="B53" s="90"/>
      <c r="C53" s="90"/>
      <c r="D53" s="91"/>
      <c r="E53" s="92"/>
      <c r="F53" s="92"/>
      <c r="G53" s="92"/>
      <c r="H53" s="52"/>
      <c r="I53" s="52"/>
      <c r="J53" s="92"/>
      <c r="K53" s="92"/>
      <c r="L53" s="92"/>
      <c r="M53" s="92"/>
      <c r="N53" s="92"/>
      <c r="O53" s="92"/>
      <c r="P53" s="92"/>
    </row>
    <row r="54" spans="1:16" ht="12.75">
      <c r="A54" s="90"/>
      <c r="B54" s="90"/>
      <c r="C54" s="90"/>
      <c r="D54" s="91"/>
      <c r="E54" s="92"/>
      <c r="F54" s="92"/>
      <c r="G54" s="92"/>
      <c r="H54" s="52"/>
      <c r="I54" s="52"/>
      <c r="J54" s="92"/>
      <c r="K54" s="92"/>
      <c r="L54" s="92"/>
      <c r="M54" s="92"/>
      <c r="N54" s="92"/>
      <c r="O54" s="92"/>
      <c r="P54" s="92"/>
    </row>
    <row r="55" spans="1:16" ht="12.75">
      <c r="A55" s="90"/>
      <c r="B55" s="90"/>
      <c r="C55" s="90"/>
      <c r="D55" s="91"/>
      <c r="E55" s="92"/>
      <c r="F55" s="92"/>
      <c r="G55" s="92"/>
      <c r="H55" s="52"/>
      <c r="I55" s="52"/>
      <c r="J55" s="92"/>
      <c r="K55" s="92"/>
      <c r="L55" s="92"/>
      <c r="M55" s="92"/>
      <c r="N55" s="92"/>
      <c r="O55" s="92"/>
      <c r="P55" s="92"/>
    </row>
    <row r="56" spans="1:16" ht="12.75">
      <c r="A56" s="90"/>
      <c r="B56" s="90"/>
      <c r="C56" s="90"/>
      <c r="D56" s="91"/>
      <c r="E56" s="92"/>
      <c r="F56" s="92"/>
      <c r="G56" s="92"/>
      <c r="H56" s="52"/>
      <c r="I56" s="52"/>
      <c r="J56" s="92"/>
      <c r="K56" s="92"/>
      <c r="L56" s="92"/>
      <c r="M56" s="92"/>
      <c r="N56" s="92"/>
      <c r="O56" s="92"/>
      <c r="P56" s="92"/>
    </row>
    <row r="57" spans="1:16" ht="12.75">
      <c r="A57" s="90"/>
      <c r="B57" s="90"/>
      <c r="C57" s="90"/>
      <c r="D57" s="91"/>
      <c r="E57" s="92"/>
      <c r="F57" s="92"/>
      <c r="G57" s="92"/>
      <c r="H57" s="52"/>
      <c r="I57" s="52"/>
      <c r="J57" s="92"/>
      <c r="K57" s="92"/>
      <c r="L57" s="92"/>
      <c r="M57" s="92"/>
      <c r="N57" s="92"/>
      <c r="O57" s="92"/>
      <c r="P57" s="92"/>
    </row>
    <row r="58" spans="1:16" ht="12.75">
      <c r="A58" s="90"/>
      <c r="B58" s="90"/>
      <c r="C58" s="90"/>
      <c r="D58" s="91"/>
      <c r="E58" s="92"/>
      <c r="F58" s="92"/>
      <c r="G58" s="92"/>
      <c r="H58" s="52"/>
      <c r="I58" s="52"/>
      <c r="J58" s="92"/>
      <c r="K58" s="92"/>
      <c r="L58" s="92"/>
      <c r="M58" s="92"/>
      <c r="N58" s="92"/>
      <c r="O58" s="92"/>
      <c r="P58" s="92"/>
    </row>
    <row r="59" spans="1:16" ht="12.75">
      <c r="A59" s="90"/>
      <c r="B59" s="90"/>
      <c r="C59" s="90"/>
      <c r="D59" s="91"/>
      <c r="E59" s="92"/>
      <c r="F59" s="92"/>
      <c r="G59" s="92"/>
      <c r="H59" s="52"/>
      <c r="I59" s="52"/>
      <c r="J59" s="92"/>
      <c r="K59" s="92"/>
      <c r="L59" s="92"/>
      <c r="M59" s="92"/>
      <c r="N59" s="92"/>
      <c r="O59" s="92"/>
      <c r="P59" s="92"/>
    </row>
    <row r="60" spans="1:16" ht="12.75">
      <c r="A60" s="90"/>
      <c r="B60" s="90"/>
      <c r="C60" s="90"/>
      <c r="D60" s="91"/>
      <c r="E60" s="92"/>
      <c r="F60" s="92"/>
      <c r="G60" s="92"/>
      <c r="H60" s="52"/>
      <c r="I60" s="52"/>
      <c r="J60" s="92"/>
      <c r="K60" s="92"/>
      <c r="L60" s="92"/>
      <c r="M60" s="92"/>
      <c r="N60" s="92"/>
      <c r="O60" s="92"/>
      <c r="P60" s="92"/>
    </row>
    <row r="61" spans="1:16" ht="12.75">
      <c r="A61" s="90"/>
      <c r="B61" s="90"/>
      <c r="C61" s="90"/>
      <c r="D61" s="91"/>
      <c r="E61" s="92"/>
      <c r="F61" s="92"/>
      <c r="G61" s="92"/>
      <c r="H61" s="52"/>
      <c r="I61" s="52"/>
      <c r="J61" s="92"/>
      <c r="K61" s="92"/>
      <c r="L61" s="92"/>
      <c r="M61" s="92"/>
      <c r="N61" s="92"/>
      <c r="O61" s="92"/>
      <c r="P61" s="92"/>
    </row>
    <row r="62" spans="1:16" ht="12.75">
      <c r="A62" s="90"/>
      <c r="B62" s="90"/>
      <c r="C62" s="90"/>
      <c r="D62" s="91"/>
      <c r="E62" s="92"/>
      <c r="F62" s="92"/>
      <c r="G62" s="92"/>
      <c r="H62" s="52"/>
      <c r="I62" s="52"/>
      <c r="J62" s="92"/>
      <c r="K62" s="92"/>
      <c r="L62" s="92"/>
      <c r="M62" s="92"/>
      <c r="N62" s="92"/>
      <c r="O62" s="92"/>
      <c r="P62" s="92"/>
    </row>
    <row r="63" spans="1:16" ht="12.75">
      <c r="A63" s="90"/>
      <c r="B63" s="90"/>
      <c r="C63" s="90"/>
      <c r="D63" s="91"/>
      <c r="E63" s="92"/>
      <c r="F63" s="92"/>
      <c r="G63" s="92"/>
      <c r="H63" s="52"/>
      <c r="I63" s="52"/>
      <c r="J63" s="92"/>
      <c r="K63" s="92"/>
      <c r="L63" s="92"/>
      <c r="M63" s="92"/>
      <c r="N63" s="92"/>
      <c r="O63" s="92"/>
      <c r="P63" s="92"/>
    </row>
    <row r="64" spans="1:16" ht="12.75">
      <c r="A64" s="90"/>
      <c r="B64" s="90"/>
      <c r="C64" s="90"/>
      <c r="D64" s="91"/>
      <c r="E64" s="92"/>
      <c r="F64" s="92"/>
      <c r="G64" s="92"/>
      <c r="H64" s="52"/>
      <c r="I64" s="52"/>
      <c r="J64" s="92"/>
      <c r="K64" s="92"/>
      <c r="L64" s="92"/>
      <c r="M64" s="92"/>
      <c r="N64" s="92"/>
      <c r="O64" s="92"/>
      <c r="P64" s="92"/>
    </row>
    <row r="65" spans="1:16" ht="12.75">
      <c r="A65" s="90"/>
      <c r="B65" s="90"/>
      <c r="C65" s="90"/>
      <c r="D65" s="91"/>
      <c r="E65" s="92"/>
      <c r="F65" s="92"/>
      <c r="G65" s="92"/>
      <c r="H65" s="52"/>
      <c r="I65" s="52"/>
      <c r="J65" s="92"/>
      <c r="K65" s="92"/>
      <c r="L65" s="92"/>
      <c r="M65" s="92"/>
      <c r="N65" s="92"/>
      <c r="O65" s="92"/>
      <c r="P65" s="92"/>
    </row>
    <row r="66" spans="1:17" ht="12.75">
      <c r="A66" s="90"/>
      <c r="B66" s="90"/>
      <c r="C66" s="90"/>
      <c r="D66" s="91"/>
      <c r="E66" s="92"/>
      <c r="F66" s="92"/>
      <c r="G66" s="92"/>
      <c r="H66" s="52"/>
      <c r="I66" s="52"/>
      <c r="J66" s="92"/>
      <c r="K66" s="92"/>
      <c r="L66" s="92"/>
      <c r="M66" s="92"/>
      <c r="N66" s="92"/>
      <c r="O66" s="92"/>
      <c r="P66" s="92"/>
      <c r="Q66" s="52"/>
    </row>
    <row r="67" spans="1:17" ht="12.75">
      <c r="A67" s="90"/>
      <c r="B67" s="90"/>
      <c r="C67" s="90"/>
      <c r="D67" s="91"/>
      <c r="E67" s="92"/>
      <c r="F67" s="92"/>
      <c r="G67" s="92"/>
      <c r="H67" s="52"/>
      <c r="I67" s="52"/>
      <c r="J67" s="92"/>
      <c r="K67" s="92"/>
      <c r="L67" s="92"/>
      <c r="M67" s="92"/>
      <c r="N67" s="92"/>
      <c r="O67" s="92"/>
      <c r="P67" s="92"/>
      <c r="Q67" s="52"/>
    </row>
    <row r="68" spans="1:17" ht="12.75">
      <c r="A68" s="90"/>
      <c r="B68" s="90"/>
      <c r="C68" s="90"/>
      <c r="D68" s="91"/>
      <c r="E68" s="92"/>
      <c r="F68" s="92"/>
      <c r="G68" s="92"/>
      <c r="H68" s="52"/>
      <c r="I68" s="52"/>
      <c r="J68" s="92"/>
      <c r="K68" s="92"/>
      <c r="L68" s="92"/>
      <c r="M68" s="92"/>
      <c r="N68" s="92"/>
      <c r="O68" s="92"/>
      <c r="P68" s="92"/>
      <c r="Q68" s="52"/>
    </row>
    <row r="69" spans="1:17" ht="12.75">
      <c r="A69" s="90"/>
      <c r="B69" s="90"/>
      <c r="C69" s="90"/>
      <c r="D69" s="91"/>
      <c r="E69" s="92"/>
      <c r="F69" s="92"/>
      <c r="G69" s="92"/>
      <c r="H69" s="52"/>
      <c r="I69" s="52"/>
      <c r="J69" s="92"/>
      <c r="K69" s="92"/>
      <c r="L69" s="92"/>
      <c r="M69" s="92"/>
      <c r="N69" s="92"/>
      <c r="O69" s="92"/>
      <c r="P69" s="92"/>
      <c r="Q69" s="52"/>
    </row>
    <row r="70" spans="1:17" ht="12.75">
      <c r="A70" s="90"/>
      <c r="B70" s="90"/>
      <c r="C70" s="90"/>
      <c r="D70" s="91"/>
      <c r="E70" s="92"/>
      <c r="F70" s="92"/>
      <c r="G70" s="92"/>
      <c r="H70" s="52"/>
      <c r="I70" s="52"/>
      <c r="J70" s="92"/>
      <c r="K70" s="92"/>
      <c r="L70" s="92"/>
      <c r="M70" s="92"/>
      <c r="N70" s="92"/>
      <c r="O70" s="92"/>
      <c r="P70" s="92"/>
      <c r="Q70" s="52"/>
    </row>
    <row r="71" spans="1:17" ht="12.75">
      <c r="A71" s="90"/>
      <c r="B71" s="90"/>
      <c r="C71" s="90"/>
      <c r="D71" s="91"/>
      <c r="E71" s="92"/>
      <c r="F71" s="92"/>
      <c r="G71" s="92"/>
      <c r="H71" s="52"/>
      <c r="I71" s="52"/>
      <c r="J71" s="92"/>
      <c r="K71" s="92"/>
      <c r="L71" s="92"/>
      <c r="M71" s="92"/>
      <c r="N71" s="92"/>
      <c r="O71" s="92"/>
      <c r="P71" s="92"/>
      <c r="Q71" s="52"/>
    </row>
    <row r="72" spans="1:17" ht="12.75">
      <c r="A72" s="90"/>
      <c r="B72" s="90"/>
      <c r="C72" s="90"/>
      <c r="D72" s="91"/>
      <c r="E72" s="92"/>
      <c r="F72" s="92"/>
      <c r="G72" s="92"/>
      <c r="H72" s="52"/>
      <c r="I72" s="52"/>
      <c r="J72" s="92"/>
      <c r="K72" s="92"/>
      <c r="L72" s="92"/>
      <c r="M72" s="92"/>
      <c r="N72" s="92"/>
      <c r="O72" s="92"/>
      <c r="P72" s="92"/>
      <c r="Q72" s="52"/>
    </row>
    <row r="73" spans="1:17" ht="12.75">
      <c r="A73" s="90"/>
      <c r="B73" s="90"/>
      <c r="C73" s="90"/>
      <c r="D73" s="91"/>
      <c r="E73" s="92"/>
      <c r="F73" s="92"/>
      <c r="G73" s="92"/>
      <c r="H73" s="52"/>
      <c r="I73" s="52"/>
      <c r="J73" s="92"/>
      <c r="K73" s="92"/>
      <c r="L73" s="92"/>
      <c r="M73" s="92"/>
      <c r="N73" s="92"/>
      <c r="O73" s="92"/>
      <c r="P73" s="92"/>
      <c r="Q73" s="52"/>
    </row>
    <row r="74" spans="1:17" ht="12.75">
      <c r="A74" s="90"/>
      <c r="B74" s="90"/>
      <c r="C74" s="90"/>
      <c r="D74" s="91"/>
      <c r="E74" s="92"/>
      <c r="F74" s="92"/>
      <c r="G74" s="92"/>
      <c r="H74" s="52"/>
      <c r="I74" s="52"/>
      <c r="J74" s="92"/>
      <c r="K74" s="92"/>
      <c r="L74" s="92"/>
      <c r="M74" s="92"/>
      <c r="N74" s="92"/>
      <c r="O74" s="92"/>
      <c r="P74" s="92"/>
      <c r="Q74" s="52"/>
    </row>
    <row r="75" spans="1:17" ht="12.75">
      <c r="A75" s="90"/>
      <c r="B75" s="90"/>
      <c r="C75" s="90"/>
      <c r="D75" s="91"/>
      <c r="E75" s="92"/>
      <c r="F75" s="92"/>
      <c r="G75" s="92"/>
      <c r="H75" s="52"/>
      <c r="I75" s="52"/>
      <c r="J75" s="92"/>
      <c r="K75" s="92"/>
      <c r="L75" s="92"/>
      <c r="M75" s="92"/>
      <c r="N75" s="92"/>
      <c r="O75" s="92"/>
      <c r="P75" s="92"/>
      <c r="Q75" s="52"/>
    </row>
    <row r="76" spans="1:17" ht="12.75">
      <c r="A76" s="90"/>
      <c r="B76" s="90"/>
      <c r="C76" s="90"/>
      <c r="D76" s="91"/>
      <c r="E76" s="92"/>
      <c r="F76" s="92"/>
      <c r="G76" s="92"/>
      <c r="H76" s="52"/>
      <c r="I76" s="52"/>
      <c r="J76" s="92"/>
      <c r="K76" s="92"/>
      <c r="L76" s="92"/>
      <c r="M76" s="92"/>
      <c r="N76" s="92"/>
      <c r="O76" s="92"/>
      <c r="P76" s="92"/>
      <c r="Q76" s="52"/>
    </row>
    <row r="77" spans="1:17" ht="12.75">
      <c r="A77" s="90"/>
      <c r="B77" s="90"/>
      <c r="C77" s="90"/>
      <c r="D77" s="91"/>
      <c r="E77" s="92"/>
      <c r="F77" s="92"/>
      <c r="G77" s="92"/>
      <c r="H77" s="52"/>
      <c r="I77" s="52"/>
      <c r="J77" s="92"/>
      <c r="K77" s="92"/>
      <c r="L77" s="92"/>
      <c r="M77" s="92"/>
      <c r="N77" s="92"/>
      <c r="O77" s="92"/>
      <c r="P77" s="92"/>
      <c r="Q77" s="52"/>
    </row>
    <row r="78" spans="1:17" ht="12.75">
      <c r="A78" s="90"/>
      <c r="B78" s="90"/>
      <c r="C78" s="90"/>
      <c r="D78" s="91"/>
      <c r="E78" s="92"/>
      <c r="F78" s="92"/>
      <c r="G78" s="92"/>
      <c r="H78" s="52"/>
      <c r="I78" s="52"/>
      <c r="J78" s="92"/>
      <c r="K78" s="92"/>
      <c r="L78" s="92"/>
      <c r="M78" s="92"/>
      <c r="N78" s="92"/>
      <c r="O78" s="92"/>
      <c r="P78" s="92"/>
      <c r="Q78" s="52"/>
    </row>
    <row r="79" spans="1:17" ht="12.75">
      <c r="A79" s="90"/>
      <c r="B79" s="90"/>
      <c r="C79" s="90"/>
      <c r="D79" s="91"/>
      <c r="E79" s="92"/>
      <c r="F79" s="92"/>
      <c r="G79" s="92"/>
      <c r="H79" s="52"/>
      <c r="I79" s="52"/>
      <c r="J79" s="92"/>
      <c r="K79" s="92"/>
      <c r="L79" s="92"/>
      <c r="M79" s="92"/>
      <c r="N79" s="92"/>
      <c r="O79" s="92"/>
      <c r="P79" s="92"/>
      <c r="Q79" s="52"/>
    </row>
    <row r="80" spans="1:17" ht="12.75">
      <c r="A80" s="90"/>
      <c r="B80" s="90"/>
      <c r="C80" s="90"/>
      <c r="D80" s="91"/>
      <c r="E80" s="92"/>
      <c r="F80" s="92"/>
      <c r="G80" s="92"/>
      <c r="H80" s="52"/>
      <c r="I80" s="52"/>
      <c r="J80" s="92"/>
      <c r="K80" s="92"/>
      <c r="L80" s="92"/>
      <c r="M80" s="92"/>
      <c r="N80" s="92"/>
      <c r="O80" s="92"/>
      <c r="P80" s="92"/>
      <c r="Q80" s="52"/>
    </row>
    <row r="81" spans="1:17" ht="12.75">
      <c r="A81" s="90"/>
      <c r="B81" s="90"/>
      <c r="C81" s="90"/>
      <c r="D81" s="91"/>
      <c r="E81" s="92"/>
      <c r="F81" s="92"/>
      <c r="G81" s="92"/>
      <c r="H81" s="52"/>
      <c r="I81" s="52"/>
      <c r="J81" s="92"/>
      <c r="K81" s="92"/>
      <c r="L81" s="92"/>
      <c r="M81" s="92"/>
      <c r="N81" s="92"/>
      <c r="O81" s="92"/>
      <c r="P81" s="92"/>
      <c r="Q81" s="52"/>
    </row>
    <row r="82" spans="1:17" ht="12.75">
      <c r="A82" s="90"/>
      <c r="B82" s="90"/>
      <c r="C82" s="90"/>
      <c r="D82" s="91"/>
      <c r="E82" s="92"/>
      <c r="F82" s="92"/>
      <c r="G82" s="92"/>
      <c r="H82" s="52"/>
      <c r="I82" s="52"/>
      <c r="J82" s="92"/>
      <c r="K82" s="92"/>
      <c r="L82" s="92"/>
      <c r="M82" s="92"/>
      <c r="N82" s="92"/>
      <c r="O82" s="92"/>
      <c r="P82" s="92"/>
      <c r="Q82" s="52"/>
    </row>
    <row r="83" spans="1:17" ht="12.75">
      <c r="A83" s="90"/>
      <c r="B83" s="90"/>
      <c r="C83" s="90"/>
      <c r="D83" s="91"/>
      <c r="E83" s="92"/>
      <c r="F83" s="92"/>
      <c r="G83" s="92"/>
      <c r="H83" s="52"/>
      <c r="I83" s="52"/>
      <c r="J83" s="92"/>
      <c r="K83" s="92"/>
      <c r="L83" s="92"/>
      <c r="M83" s="92"/>
      <c r="N83" s="92"/>
      <c r="O83" s="92"/>
      <c r="P83" s="92"/>
      <c r="Q83" s="52"/>
    </row>
    <row r="84" spans="1:17" ht="12.75">
      <c r="A84" s="90"/>
      <c r="B84" s="90"/>
      <c r="C84" s="90"/>
      <c r="D84" s="91"/>
      <c r="E84" s="92"/>
      <c r="F84" s="92"/>
      <c r="G84" s="92"/>
      <c r="H84" s="52"/>
      <c r="I84" s="52"/>
      <c r="J84" s="92"/>
      <c r="K84" s="92"/>
      <c r="L84" s="92"/>
      <c r="M84" s="92"/>
      <c r="N84" s="92"/>
      <c r="O84" s="92"/>
      <c r="P84" s="92"/>
      <c r="Q84" s="52"/>
    </row>
    <row r="85" spans="1:17" ht="12.75">
      <c r="A85" s="90"/>
      <c r="B85" s="90"/>
      <c r="C85" s="90"/>
      <c r="D85" s="91"/>
      <c r="E85" s="92"/>
      <c r="F85" s="92"/>
      <c r="G85" s="92"/>
      <c r="H85" s="52"/>
      <c r="I85" s="52"/>
      <c r="J85" s="92"/>
      <c r="K85" s="92"/>
      <c r="L85" s="92"/>
      <c r="M85" s="92"/>
      <c r="N85" s="92"/>
      <c r="O85" s="92"/>
      <c r="P85" s="92"/>
      <c r="Q85" s="52"/>
    </row>
    <row r="86" spans="1:17" ht="12.75">
      <c r="A86" s="90"/>
      <c r="B86" s="90"/>
      <c r="C86" s="90"/>
      <c r="D86" s="91"/>
      <c r="E86" s="92"/>
      <c r="F86" s="92"/>
      <c r="G86" s="92"/>
      <c r="H86" s="52"/>
      <c r="I86" s="52"/>
      <c r="J86" s="92"/>
      <c r="K86" s="92"/>
      <c r="L86" s="92"/>
      <c r="M86" s="92"/>
      <c r="N86" s="92"/>
      <c r="O86" s="92"/>
      <c r="P86" s="92"/>
      <c r="Q86" s="52"/>
    </row>
    <row r="87" spans="1:17" ht="12.75">
      <c r="A87" s="90"/>
      <c r="B87" s="90"/>
      <c r="C87" s="90"/>
      <c r="D87" s="91"/>
      <c r="E87" s="92"/>
      <c r="F87" s="92"/>
      <c r="G87" s="92"/>
      <c r="H87" s="52"/>
      <c r="I87" s="52"/>
      <c r="J87" s="92"/>
      <c r="K87" s="92"/>
      <c r="L87" s="92"/>
      <c r="M87" s="92"/>
      <c r="N87" s="92"/>
      <c r="O87" s="92"/>
      <c r="P87" s="92"/>
      <c r="Q87" s="52"/>
    </row>
    <row r="88" spans="1:17" ht="12.75">
      <c r="A88" s="90"/>
      <c r="B88" s="90"/>
      <c r="C88" s="90"/>
      <c r="D88" s="91"/>
      <c r="E88" s="92"/>
      <c r="F88" s="92"/>
      <c r="G88" s="92"/>
      <c r="H88" s="52"/>
      <c r="I88" s="52"/>
      <c r="J88" s="92"/>
      <c r="K88" s="92"/>
      <c r="L88" s="92"/>
      <c r="M88" s="92"/>
      <c r="N88" s="92"/>
      <c r="O88" s="92"/>
      <c r="P88" s="92"/>
      <c r="Q88" s="52"/>
    </row>
    <row r="89" spans="1:17" ht="12.75">
      <c r="A89" s="90"/>
      <c r="B89" s="90"/>
      <c r="C89" s="90"/>
      <c r="D89" s="91"/>
      <c r="E89" s="92"/>
      <c r="F89" s="92"/>
      <c r="G89" s="92"/>
      <c r="H89" s="52"/>
      <c r="I89" s="52"/>
      <c r="J89" s="92"/>
      <c r="K89" s="92"/>
      <c r="L89" s="92"/>
      <c r="M89" s="92"/>
      <c r="N89" s="92"/>
      <c r="O89" s="92"/>
      <c r="P89" s="92"/>
      <c r="Q89" s="52"/>
    </row>
    <row r="90" spans="1:17" ht="12.75">
      <c r="A90" s="90"/>
      <c r="B90" s="90"/>
      <c r="C90" s="90"/>
      <c r="D90" s="91"/>
      <c r="E90" s="92"/>
      <c r="F90" s="92"/>
      <c r="G90" s="92"/>
      <c r="H90" s="52"/>
      <c r="I90" s="52"/>
      <c r="J90" s="92"/>
      <c r="K90" s="92"/>
      <c r="L90" s="92"/>
      <c r="M90" s="92"/>
      <c r="N90" s="92"/>
      <c r="O90" s="92"/>
      <c r="P90" s="92"/>
      <c r="Q90" s="52"/>
    </row>
    <row r="91" spans="1:17" ht="12.75">
      <c r="A91" s="90"/>
      <c r="B91" s="90"/>
      <c r="C91" s="90"/>
      <c r="D91" s="91"/>
      <c r="E91" s="92"/>
      <c r="F91" s="92"/>
      <c r="G91" s="92"/>
      <c r="H91" s="52"/>
      <c r="I91" s="52"/>
      <c r="J91" s="92"/>
      <c r="K91" s="92"/>
      <c r="L91" s="92"/>
      <c r="M91" s="92"/>
      <c r="N91" s="92"/>
      <c r="O91" s="92"/>
      <c r="P91" s="92"/>
      <c r="Q91" s="52"/>
    </row>
    <row r="92" spans="1:17" ht="12.75">
      <c r="A92" s="90"/>
      <c r="B92" s="90"/>
      <c r="C92" s="90"/>
      <c r="D92" s="91"/>
      <c r="E92" s="92"/>
      <c r="F92" s="92"/>
      <c r="G92" s="92"/>
      <c r="H92" s="52"/>
      <c r="I92" s="52"/>
      <c r="J92" s="92"/>
      <c r="K92" s="92"/>
      <c r="L92" s="92"/>
      <c r="M92" s="92"/>
      <c r="N92" s="92"/>
      <c r="O92" s="92"/>
      <c r="P92" s="92"/>
      <c r="Q92" s="52"/>
    </row>
    <row r="93" spans="1:17" ht="12.75">
      <c r="A93" s="90"/>
      <c r="B93" s="90"/>
      <c r="C93" s="90"/>
      <c r="D93" s="91"/>
      <c r="E93" s="92"/>
      <c r="F93" s="92"/>
      <c r="G93" s="92"/>
      <c r="H93" s="52"/>
      <c r="I93" s="52"/>
      <c r="J93" s="92"/>
      <c r="K93" s="92"/>
      <c r="L93" s="92"/>
      <c r="M93" s="92"/>
      <c r="N93" s="92"/>
      <c r="O93" s="92"/>
      <c r="P93" s="92"/>
      <c r="Q93" s="52"/>
    </row>
    <row r="94" spans="1:17" ht="12.75">
      <c r="A94" s="90"/>
      <c r="B94" s="90"/>
      <c r="C94" s="90"/>
      <c r="D94" s="91"/>
      <c r="E94" s="92"/>
      <c r="F94" s="92"/>
      <c r="G94" s="92"/>
      <c r="H94" s="52"/>
      <c r="I94" s="52"/>
      <c r="J94" s="92"/>
      <c r="K94" s="92"/>
      <c r="L94" s="92"/>
      <c r="M94" s="92"/>
      <c r="N94" s="92"/>
      <c r="O94" s="92"/>
      <c r="P94" s="92"/>
      <c r="Q94" s="52"/>
    </row>
    <row r="95" spans="1:17" ht="12.75">
      <c r="A95" s="90"/>
      <c r="B95" s="90"/>
      <c r="C95" s="90"/>
      <c r="D95" s="91"/>
      <c r="E95" s="92"/>
      <c r="F95" s="92"/>
      <c r="G95" s="92"/>
      <c r="H95" s="52"/>
      <c r="I95" s="52"/>
      <c r="J95" s="92"/>
      <c r="K95" s="92"/>
      <c r="L95" s="92"/>
      <c r="M95" s="92"/>
      <c r="N95" s="92"/>
      <c r="O95" s="92"/>
      <c r="P95" s="92"/>
      <c r="Q95" s="52"/>
    </row>
    <row r="96" spans="1:17" ht="12.75">
      <c r="A96" s="90"/>
      <c r="B96" s="90"/>
      <c r="C96" s="90"/>
      <c r="D96" s="91"/>
      <c r="E96" s="92"/>
      <c r="F96" s="92"/>
      <c r="G96" s="92"/>
      <c r="H96" s="52"/>
      <c r="I96" s="52"/>
      <c r="J96" s="92"/>
      <c r="K96" s="92"/>
      <c r="L96" s="92"/>
      <c r="M96" s="92"/>
      <c r="N96" s="92"/>
      <c r="O96" s="92"/>
      <c r="P96" s="92"/>
      <c r="Q96" s="52"/>
    </row>
    <row r="97" spans="1:17" ht="12.75">
      <c r="A97" s="90"/>
      <c r="B97" s="90"/>
      <c r="C97" s="90"/>
      <c r="D97" s="91"/>
      <c r="E97" s="92"/>
      <c r="F97" s="92"/>
      <c r="G97" s="92"/>
      <c r="H97" s="52"/>
      <c r="I97" s="52"/>
      <c r="J97" s="92"/>
      <c r="K97" s="92"/>
      <c r="L97" s="92"/>
      <c r="M97" s="92"/>
      <c r="N97" s="92"/>
      <c r="O97" s="92"/>
      <c r="P97" s="92"/>
      <c r="Q97" s="52"/>
    </row>
    <row r="98" spans="1:17" ht="12.75">
      <c r="A98" s="90"/>
      <c r="B98" s="90"/>
      <c r="C98" s="90"/>
      <c r="D98" s="91"/>
      <c r="E98" s="92"/>
      <c r="F98" s="92"/>
      <c r="G98" s="92"/>
      <c r="H98" s="52"/>
      <c r="I98" s="52"/>
      <c r="J98" s="92"/>
      <c r="K98" s="92"/>
      <c r="L98" s="92"/>
      <c r="M98" s="92"/>
      <c r="N98" s="92"/>
      <c r="O98" s="92"/>
      <c r="P98" s="92"/>
      <c r="Q98" s="52"/>
    </row>
    <row r="99" spans="1:17" ht="12.75">
      <c r="A99" s="90"/>
      <c r="B99" s="90"/>
      <c r="C99" s="90"/>
      <c r="D99" s="91"/>
      <c r="E99" s="92"/>
      <c r="F99" s="92"/>
      <c r="G99" s="92"/>
      <c r="H99" s="52"/>
      <c r="I99" s="52"/>
      <c r="J99" s="92"/>
      <c r="K99" s="92"/>
      <c r="L99" s="92"/>
      <c r="M99" s="92"/>
      <c r="N99" s="92"/>
      <c r="O99" s="92"/>
      <c r="P99" s="92"/>
      <c r="Q99" s="52"/>
    </row>
    <row r="100" spans="1:17" ht="12.75">
      <c r="A100" s="90"/>
      <c r="B100" s="90"/>
      <c r="C100" s="90"/>
      <c r="D100" s="91"/>
      <c r="E100" s="92"/>
      <c r="F100" s="92"/>
      <c r="G100" s="92"/>
      <c r="H100" s="52"/>
      <c r="I100" s="52"/>
      <c r="J100" s="92"/>
      <c r="K100" s="92"/>
      <c r="L100" s="92"/>
      <c r="M100" s="92"/>
      <c r="N100" s="92"/>
      <c r="O100" s="92"/>
      <c r="P100" s="92"/>
      <c r="Q100" s="52"/>
    </row>
    <row r="101" spans="1:17" ht="12.75">
      <c r="A101" s="90"/>
      <c r="B101" s="90"/>
      <c r="C101" s="90"/>
      <c r="D101" s="91"/>
      <c r="E101" s="92"/>
      <c r="F101" s="92"/>
      <c r="G101" s="92"/>
      <c r="H101" s="52"/>
      <c r="I101" s="52"/>
      <c r="J101" s="92"/>
      <c r="K101" s="92"/>
      <c r="L101" s="92"/>
      <c r="M101" s="92"/>
      <c r="N101" s="92"/>
      <c r="O101" s="92"/>
      <c r="P101" s="92"/>
      <c r="Q101" s="52"/>
    </row>
    <row r="102" spans="1:17" ht="12.75">
      <c r="A102" s="90"/>
      <c r="B102" s="90"/>
      <c r="C102" s="90"/>
      <c r="D102" s="91"/>
      <c r="E102" s="92"/>
      <c r="F102" s="92"/>
      <c r="G102" s="92"/>
      <c r="H102" s="52"/>
      <c r="I102" s="52"/>
      <c r="J102" s="92"/>
      <c r="K102" s="92"/>
      <c r="L102" s="92"/>
      <c r="M102" s="92"/>
      <c r="N102" s="92"/>
      <c r="O102" s="92"/>
      <c r="P102" s="92"/>
      <c r="Q102" s="52"/>
    </row>
    <row r="103" spans="1:17" ht="12.75">
      <c r="A103" s="90"/>
      <c r="B103" s="90"/>
      <c r="C103" s="90"/>
      <c r="D103" s="91"/>
      <c r="E103" s="92"/>
      <c r="F103" s="92"/>
      <c r="G103" s="92"/>
      <c r="H103" s="52"/>
      <c r="I103" s="52"/>
      <c r="J103" s="92"/>
      <c r="K103" s="92"/>
      <c r="L103" s="92"/>
      <c r="M103" s="92"/>
      <c r="N103" s="92"/>
      <c r="O103" s="92"/>
      <c r="P103" s="92"/>
      <c r="Q103" s="52"/>
    </row>
    <row r="104" spans="1:17" ht="12.75">
      <c r="A104" s="90"/>
      <c r="B104" s="90"/>
      <c r="C104" s="90"/>
      <c r="D104" s="91"/>
      <c r="E104" s="92"/>
      <c r="F104" s="92"/>
      <c r="G104" s="92"/>
      <c r="H104" s="52"/>
      <c r="I104" s="52"/>
      <c r="J104" s="92"/>
      <c r="K104" s="92"/>
      <c r="L104" s="92"/>
      <c r="M104" s="92"/>
      <c r="N104" s="92"/>
      <c r="O104" s="92"/>
      <c r="P104" s="92"/>
      <c r="Q104" s="52"/>
    </row>
    <row r="105" spans="1:17" ht="12.75">
      <c r="A105" s="90"/>
      <c r="B105" s="90"/>
      <c r="C105" s="90"/>
      <c r="D105" s="91"/>
      <c r="E105" s="92"/>
      <c r="F105" s="92"/>
      <c r="G105" s="92"/>
      <c r="H105" s="52"/>
      <c r="I105" s="52"/>
      <c r="J105" s="92"/>
      <c r="K105" s="92"/>
      <c r="L105" s="92"/>
      <c r="M105" s="92"/>
      <c r="N105" s="92"/>
      <c r="O105" s="92"/>
      <c r="P105" s="92"/>
      <c r="Q105" s="52"/>
    </row>
    <row r="106" spans="1:17" ht="12.75">
      <c r="A106" s="90"/>
      <c r="B106" s="90"/>
      <c r="C106" s="90"/>
      <c r="D106" s="91"/>
      <c r="E106" s="92"/>
      <c r="F106" s="92"/>
      <c r="G106" s="92"/>
      <c r="H106" s="52"/>
      <c r="I106" s="52"/>
      <c r="J106" s="92"/>
      <c r="K106" s="92"/>
      <c r="L106" s="92"/>
      <c r="M106" s="92"/>
      <c r="N106" s="92"/>
      <c r="O106" s="92"/>
      <c r="P106" s="92"/>
      <c r="Q106" s="52"/>
    </row>
    <row r="107" spans="1:17" ht="12.75">
      <c r="A107" s="90"/>
      <c r="B107" s="90"/>
      <c r="C107" s="90"/>
      <c r="D107" s="91"/>
      <c r="E107" s="92"/>
      <c r="F107" s="92"/>
      <c r="G107" s="92"/>
      <c r="H107" s="52"/>
      <c r="I107" s="52"/>
      <c r="J107" s="92"/>
      <c r="K107" s="92"/>
      <c r="L107" s="92"/>
      <c r="M107" s="92"/>
      <c r="N107" s="92"/>
      <c r="O107" s="92"/>
      <c r="P107" s="92"/>
      <c r="Q107" s="52"/>
    </row>
    <row r="108" spans="1:17" ht="12.75">
      <c r="A108" s="90"/>
      <c r="B108" s="90"/>
      <c r="C108" s="90"/>
      <c r="D108" s="91"/>
      <c r="E108" s="92"/>
      <c r="F108" s="92"/>
      <c r="G108" s="92"/>
      <c r="H108" s="52"/>
      <c r="I108" s="52"/>
      <c r="J108" s="92"/>
      <c r="K108" s="92"/>
      <c r="L108" s="92"/>
      <c r="M108" s="92"/>
      <c r="N108" s="92"/>
      <c r="O108" s="92"/>
      <c r="P108" s="92"/>
      <c r="Q108" s="52"/>
    </row>
    <row r="109" spans="1:17" ht="12.75">
      <c r="A109" s="90"/>
      <c r="B109" s="90"/>
      <c r="C109" s="90"/>
      <c r="D109" s="91"/>
      <c r="E109" s="92"/>
      <c r="F109" s="92"/>
      <c r="G109" s="92"/>
      <c r="H109" s="52"/>
      <c r="I109" s="52"/>
      <c r="J109" s="92"/>
      <c r="K109" s="92"/>
      <c r="L109" s="92"/>
      <c r="M109" s="92"/>
      <c r="N109" s="92"/>
      <c r="O109" s="92"/>
      <c r="P109" s="92"/>
      <c r="Q109" s="52"/>
    </row>
    <row r="110" spans="1:17" ht="12.75">
      <c r="A110" s="90"/>
      <c r="B110" s="90"/>
      <c r="C110" s="90"/>
      <c r="D110" s="91"/>
      <c r="E110" s="92"/>
      <c r="F110" s="92"/>
      <c r="G110" s="92"/>
      <c r="H110" s="52"/>
      <c r="I110" s="52"/>
      <c r="J110" s="92"/>
      <c r="K110" s="92"/>
      <c r="L110" s="92"/>
      <c r="M110" s="92"/>
      <c r="N110" s="92"/>
      <c r="O110" s="92"/>
      <c r="P110" s="92"/>
      <c r="Q110" s="52"/>
    </row>
    <row r="111" spans="1:17" ht="12.75">
      <c r="A111" s="90"/>
      <c r="B111" s="90"/>
      <c r="C111" s="90"/>
      <c r="D111" s="91"/>
      <c r="E111" s="92"/>
      <c r="F111" s="92"/>
      <c r="G111" s="92"/>
      <c r="H111" s="52"/>
      <c r="I111" s="52"/>
      <c r="J111" s="92"/>
      <c r="K111" s="92"/>
      <c r="L111" s="92"/>
      <c r="M111" s="92"/>
      <c r="N111" s="92"/>
      <c r="O111" s="92"/>
      <c r="P111" s="92"/>
      <c r="Q111" s="52"/>
    </row>
    <row r="112" spans="1:17" ht="12.75">
      <c r="A112" s="90"/>
      <c r="B112" s="90"/>
      <c r="C112" s="90"/>
      <c r="D112" s="91"/>
      <c r="E112" s="92"/>
      <c r="F112" s="92"/>
      <c r="G112" s="92"/>
      <c r="H112" s="52"/>
      <c r="I112" s="52"/>
      <c r="J112" s="92"/>
      <c r="K112" s="92"/>
      <c r="L112" s="92"/>
      <c r="M112" s="92"/>
      <c r="N112" s="92"/>
      <c r="O112" s="92"/>
      <c r="P112" s="92"/>
      <c r="Q112" s="52"/>
    </row>
    <row r="113" spans="1:17" ht="12.75">
      <c r="A113" s="90"/>
      <c r="B113" s="90"/>
      <c r="C113" s="90"/>
      <c r="D113" s="91"/>
      <c r="E113" s="92"/>
      <c r="F113" s="92"/>
      <c r="G113" s="92"/>
      <c r="H113" s="52"/>
      <c r="I113" s="52"/>
      <c r="J113" s="92"/>
      <c r="K113" s="92"/>
      <c r="L113" s="92"/>
      <c r="M113" s="92"/>
      <c r="N113" s="92"/>
      <c r="O113" s="92"/>
      <c r="P113" s="92"/>
      <c r="Q113" s="52"/>
    </row>
    <row r="114" spans="1:17" ht="12.75">
      <c r="A114" s="90"/>
      <c r="B114" s="90"/>
      <c r="C114" s="90"/>
      <c r="D114" s="91"/>
      <c r="E114" s="92"/>
      <c r="F114" s="92"/>
      <c r="G114" s="92"/>
      <c r="H114" s="52"/>
      <c r="I114" s="52"/>
      <c r="J114" s="92"/>
      <c r="K114" s="92"/>
      <c r="L114" s="92"/>
      <c r="M114" s="92"/>
      <c r="N114" s="92"/>
      <c r="O114" s="92"/>
      <c r="P114" s="92"/>
      <c r="Q114" s="52"/>
    </row>
    <row r="115" spans="1:17" ht="12.75">
      <c r="A115" s="90"/>
      <c r="B115" s="90"/>
      <c r="C115" s="90"/>
      <c r="D115" s="91"/>
      <c r="E115" s="92"/>
      <c r="F115" s="92"/>
      <c r="G115" s="92"/>
      <c r="H115" s="52"/>
      <c r="I115" s="52"/>
      <c r="J115" s="92"/>
      <c r="K115" s="92"/>
      <c r="L115" s="92"/>
      <c r="M115" s="92"/>
      <c r="N115" s="92"/>
      <c r="O115" s="92"/>
      <c r="P115" s="92"/>
      <c r="Q115" s="52"/>
    </row>
    <row r="116" spans="1:17" ht="12.75">
      <c r="A116" s="90"/>
      <c r="B116" s="90"/>
      <c r="C116" s="90"/>
      <c r="D116" s="91"/>
      <c r="E116" s="92"/>
      <c r="F116" s="92"/>
      <c r="G116" s="92"/>
      <c r="H116" s="52"/>
      <c r="I116" s="52"/>
      <c r="J116" s="92"/>
      <c r="K116" s="92"/>
      <c r="L116" s="92"/>
      <c r="M116" s="92"/>
      <c r="N116" s="92"/>
      <c r="O116" s="92"/>
      <c r="P116" s="92"/>
      <c r="Q116" s="52"/>
    </row>
    <row r="117" spans="1:17" ht="12.75">
      <c r="A117" s="90"/>
      <c r="B117" s="90"/>
      <c r="C117" s="90"/>
      <c r="D117" s="91"/>
      <c r="E117" s="92"/>
      <c r="F117" s="92"/>
      <c r="G117" s="92"/>
      <c r="H117" s="52"/>
      <c r="I117" s="52"/>
      <c r="J117" s="92"/>
      <c r="K117" s="92"/>
      <c r="L117" s="92"/>
      <c r="M117" s="92"/>
      <c r="N117" s="92"/>
      <c r="O117" s="92"/>
      <c r="P117" s="92"/>
      <c r="Q117" s="52"/>
    </row>
    <row r="118" spans="1:17" ht="12.75">
      <c r="A118" s="90"/>
      <c r="B118" s="90"/>
      <c r="C118" s="90"/>
      <c r="D118" s="91"/>
      <c r="E118" s="92"/>
      <c r="F118" s="92"/>
      <c r="G118" s="92"/>
      <c r="H118" s="52"/>
      <c r="I118" s="52"/>
      <c r="J118" s="92"/>
      <c r="K118" s="92"/>
      <c r="L118" s="92"/>
      <c r="M118" s="92"/>
      <c r="N118" s="92"/>
      <c r="O118" s="92"/>
      <c r="P118" s="92"/>
      <c r="Q118" s="52"/>
    </row>
    <row r="119" spans="1:17" ht="12.75">
      <c r="A119" s="90"/>
      <c r="B119" s="90"/>
      <c r="C119" s="90"/>
      <c r="D119" s="91"/>
      <c r="E119" s="92"/>
      <c r="F119" s="92"/>
      <c r="G119" s="92"/>
      <c r="H119" s="52"/>
      <c r="I119" s="52"/>
      <c r="J119" s="92"/>
      <c r="K119" s="92"/>
      <c r="L119" s="92"/>
      <c r="M119" s="92"/>
      <c r="N119" s="92"/>
      <c r="O119" s="92"/>
      <c r="P119" s="92"/>
      <c r="Q119" s="52"/>
    </row>
    <row r="120" spans="1:17" ht="12.75">
      <c r="A120" s="90"/>
      <c r="B120" s="90"/>
      <c r="C120" s="90"/>
      <c r="D120" s="91"/>
      <c r="E120" s="92"/>
      <c r="F120" s="92"/>
      <c r="G120" s="92"/>
      <c r="H120" s="52"/>
      <c r="I120" s="52"/>
      <c r="J120" s="92"/>
      <c r="K120" s="92"/>
      <c r="L120" s="92"/>
      <c r="M120" s="92"/>
      <c r="N120" s="92"/>
      <c r="O120" s="92"/>
      <c r="P120" s="92"/>
      <c r="Q120" s="52"/>
    </row>
    <row r="121" spans="1:17" ht="12.75">
      <c r="A121" s="90"/>
      <c r="B121" s="90"/>
      <c r="C121" s="90"/>
      <c r="D121" s="91"/>
      <c r="E121" s="92"/>
      <c r="F121" s="92"/>
      <c r="G121" s="92"/>
      <c r="H121" s="52"/>
      <c r="I121" s="52"/>
      <c r="J121" s="92"/>
      <c r="K121" s="92"/>
      <c r="L121" s="92"/>
      <c r="M121" s="92"/>
      <c r="N121" s="92"/>
      <c r="O121" s="92"/>
      <c r="P121" s="92"/>
      <c r="Q121" s="52"/>
    </row>
    <row r="122" spans="1:17" ht="12.75">
      <c r="A122" s="90"/>
      <c r="B122" s="90"/>
      <c r="C122" s="90"/>
      <c r="D122" s="91"/>
      <c r="E122" s="92"/>
      <c r="F122" s="92"/>
      <c r="G122" s="92"/>
      <c r="H122" s="52"/>
      <c r="I122" s="52"/>
      <c r="J122" s="92"/>
      <c r="K122" s="92"/>
      <c r="L122" s="92"/>
      <c r="M122" s="92"/>
      <c r="N122" s="92"/>
      <c r="O122" s="92"/>
      <c r="P122" s="92"/>
      <c r="Q122" s="52"/>
    </row>
    <row r="123" spans="1:17" ht="12.75">
      <c r="A123" s="90"/>
      <c r="B123" s="90"/>
      <c r="C123" s="90"/>
      <c r="D123" s="91"/>
      <c r="E123" s="92"/>
      <c r="F123" s="92"/>
      <c r="G123" s="92"/>
      <c r="H123" s="52"/>
      <c r="I123" s="52"/>
      <c r="J123" s="92"/>
      <c r="K123" s="92"/>
      <c r="L123" s="92"/>
      <c r="M123" s="92"/>
      <c r="N123" s="92"/>
      <c r="O123" s="92"/>
      <c r="P123" s="92"/>
      <c r="Q123" s="52"/>
    </row>
    <row r="124" spans="1:17" ht="12.75">
      <c r="A124" s="90"/>
      <c r="B124" s="90"/>
      <c r="C124" s="90"/>
      <c r="D124" s="91"/>
      <c r="E124" s="92"/>
      <c r="F124" s="92"/>
      <c r="G124" s="92"/>
      <c r="H124" s="52"/>
      <c r="I124" s="52"/>
      <c r="J124" s="92"/>
      <c r="K124" s="92"/>
      <c r="L124" s="92"/>
      <c r="M124" s="92"/>
      <c r="N124" s="92"/>
      <c r="O124" s="92"/>
      <c r="P124" s="92"/>
      <c r="Q124" s="52"/>
    </row>
    <row r="125" spans="1:17" ht="12.75">
      <c r="A125" s="90"/>
      <c r="B125" s="90"/>
      <c r="C125" s="90"/>
      <c r="D125" s="91"/>
      <c r="E125" s="92"/>
      <c r="F125" s="92"/>
      <c r="G125" s="92"/>
      <c r="H125" s="52"/>
      <c r="I125" s="52"/>
      <c r="J125" s="92"/>
      <c r="K125" s="92"/>
      <c r="L125" s="92"/>
      <c r="M125" s="92"/>
      <c r="N125" s="92"/>
      <c r="O125" s="92"/>
      <c r="P125" s="92"/>
      <c r="Q125" s="52"/>
    </row>
    <row r="126" spans="1:17" ht="12.75">
      <c r="A126" s="90"/>
      <c r="B126" s="90"/>
      <c r="C126" s="90"/>
      <c r="D126" s="91"/>
      <c r="E126" s="92"/>
      <c r="F126" s="92"/>
      <c r="G126" s="92"/>
      <c r="H126" s="52"/>
      <c r="I126" s="52"/>
      <c r="J126" s="92"/>
      <c r="K126" s="92"/>
      <c r="L126" s="92"/>
      <c r="M126" s="92"/>
      <c r="N126" s="92"/>
      <c r="O126" s="92"/>
      <c r="P126" s="92"/>
      <c r="Q126" s="52"/>
    </row>
    <row r="127" spans="1:17" ht="12.75">
      <c r="A127" s="90"/>
      <c r="B127" s="90"/>
      <c r="C127" s="90"/>
      <c r="D127" s="91"/>
      <c r="E127" s="92"/>
      <c r="F127" s="92"/>
      <c r="G127" s="92"/>
      <c r="H127" s="52"/>
      <c r="I127" s="52"/>
      <c r="J127" s="92"/>
      <c r="K127" s="92"/>
      <c r="L127" s="92"/>
      <c r="M127" s="92"/>
      <c r="N127" s="92"/>
      <c r="O127" s="92"/>
      <c r="P127" s="92"/>
      <c r="Q127" s="52"/>
    </row>
    <row r="128" spans="1:17" ht="12.75">
      <c r="A128" s="90"/>
      <c r="B128" s="90"/>
      <c r="C128" s="90"/>
      <c r="D128" s="91"/>
      <c r="E128" s="92"/>
      <c r="F128" s="92"/>
      <c r="G128" s="92"/>
      <c r="H128" s="52"/>
      <c r="I128" s="52"/>
      <c r="J128" s="92"/>
      <c r="K128" s="92"/>
      <c r="L128" s="92"/>
      <c r="M128" s="92"/>
      <c r="N128" s="92"/>
      <c r="O128" s="92"/>
      <c r="P128" s="92"/>
      <c r="Q128" s="52"/>
    </row>
    <row r="129" spans="1:17" ht="12.75">
      <c r="A129" s="90"/>
      <c r="B129" s="90"/>
      <c r="C129" s="90"/>
      <c r="D129" s="91"/>
      <c r="E129" s="92"/>
      <c r="F129" s="92"/>
      <c r="G129" s="92"/>
      <c r="H129" s="52"/>
      <c r="I129" s="52"/>
      <c r="J129" s="92"/>
      <c r="K129" s="92"/>
      <c r="L129" s="92"/>
      <c r="M129" s="92"/>
      <c r="N129" s="92"/>
      <c r="O129" s="92"/>
      <c r="P129" s="92"/>
      <c r="Q129" s="52"/>
    </row>
    <row r="130" spans="1:17" ht="12.75">
      <c r="A130" s="90"/>
      <c r="B130" s="90"/>
      <c r="C130" s="90"/>
      <c r="D130" s="91"/>
      <c r="E130" s="92"/>
      <c r="F130" s="92"/>
      <c r="G130" s="92"/>
      <c r="H130" s="52"/>
      <c r="I130" s="52"/>
      <c r="J130" s="92"/>
      <c r="K130" s="92"/>
      <c r="L130" s="92"/>
      <c r="M130" s="92"/>
      <c r="N130" s="92"/>
      <c r="O130" s="92"/>
      <c r="P130" s="92"/>
      <c r="Q130" s="52"/>
    </row>
    <row r="131" spans="1:17" ht="12.75">
      <c r="A131" s="90"/>
      <c r="B131" s="90"/>
      <c r="C131" s="90"/>
      <c r="D131" s="91"/>
      <c r="E131" s="92"/>
      <c r="F131" s="92"/>
      <c r="G131" s="92"/>
      <c r="H131" s="52"/>
      <c r="I131" s="52"/>
      <c r="J131" s="92"/>
      <c r="K131" s="92"/>
      <c r="L131" s="92"/>
      <c r="M131" s="92"/>
      <c r="N131" s="92"/>
      <c r="O131" s="92"/>
      <c r="P131" s="92"/>
      <c r="Q131" s="52"/>
    </row>
    <row r="132" spans="1:17" ht="12.75">
      <c r="A132" s="90"/>
      <c r="B132" s="90"/>
      <c r="C132" s="90"/>
      <c r="D132" s="91"/>
      <c r="E132" s="92"/>
      <c r="F132" s="92"/>
      <c r="G132" s="92"/>
      <c r="H132" s="52"/>
      <c r="I132" s="52"/>
      <c r="J132" s="92"/>
      <c r="K132" s="92"/>
      <c r="L132" s="92"/>
      <c r="M132" s="92"/>
      <c r="N132" s="92"/>
      <c r="O132" s="92"/>
      <c r="P132" s="92"/>
      <c r="Q132" s="52"/>
    </row>
    <row r="133" spans="1:17" ht="12.75">
      <c r="A133" s="90"/>
      <c r="B133" s="90"/>
      <c r="C133" s="90"/>
      <c r="D133" s="91"/>
      <c r="E133" s="92"/>
      <c r="F133" s="92"/>
      <c r="G133" s="92"/>
      <c r="H133" s="52"/>
      <c r="I133" s="52"/>
      <c r="J133" s="92"/>
      <c r="K133" s="92"/>
      <c r="L133" s="92"/>
      <c r="M133" s="92"/>
      <c r="N133" s="92"/>
      <c r="O133" s="92"/>
      <c r="P133" s="92"/>
      <c r="Q133" s="52"/>
    </row>
    <row r="134" spans="1:17" ht="12.75">
      <c r="A134" s="90"/>
      <c r="B134" s="90"/>
      <c r="C134" s="90"/>
      <c r="D134" s="91"/>
      <c r="E134" s="92"/>
      <c r="F134" s="92"/>
      <c r="G134" s="92"/>
      <c r="H134" s="52"/>
      <c r="I134" s="52"/>
      <c r="J134" s="92"/>
      <c r="K134" s="92"/>
      <c r="L134" s="92"/>
      <c r="M134" s="92"/>
      <c r="N134" s="92"/>
      <c r="O134" s="92"/>
      <c r="P134" s="92"/>
      <c r="Q134" s="52"/>
    </row>
    <row r="135" spans="1:17" ht="12.75">
      <c r="A135" s="90"/>
      <c r="B135" s="90"/>
      <c r="C135" s="90"/>
      <c r="D135" s="91"/>
      <c r="E135" s="92"/>
      <c r="F135" s="92"/>
      <c r="G135" s="92"/>
      <c r="H135" s="52"/>
      <c r="I135" s="52"/>
      <c r="J135" s="92"/>
      <c r="K135" s="92"/>
      <c r="L135" s="92"/>
      <c r="M135" s="92"/>
      <c r="N135" s="92"/>
      <c r="O135" s="92"/>
      <c r="P135" s="92"/>
      <c r="Q135" s="52"/>
    </row>
    <row r="136" spans="1:17" ht="12.75">
      <c r="A136" s="90"/>
      <c r="B136" s="90"/>
      <c r="C136" s="90"/>
      <c r="D136" s="91"/>
      <c r="E136" s="92"/>
      <c r="F136" s="92"/>
      <c r="G136" s="92"/>
      <c r="H136" s="52"/>
      <c r="I136" s="52"/>
      <c r="J136" s="92"/>
      <c r="K136" s="92"/>
      <c r="L136" s="92"/>
      <c r="M136" s="92"/>
      <c r="N136" s="92"/>
      <c r="O136" s="92"/>
      <c r="P136" s="92"/>
      <c r="Q136" s="52"/>
    </row>
    <row r="137" spans="1:17" ht="12.75">
      <c r="A137" s="90"/>
      <c r="B137" s="90"/>
      <c r="C137" s="90"/>
      <c r="D137" s="91"/>
      <c r="E137" s="92"/>
      <c r="F137" s="92"/>
      <c r="G137" s="92"/>
      <c r="H137" s="52"/>
      <c r="I137" s="52"/>
      <c r="J137" s="92"/>
      <c r="K137" s="92"/>
      <c r="L137" s="92"/>
      <c r="M137" s="92"/>
      <c r="N137" s="92"/>
      <c r="O137" s="92"/>
      <c r="P137" s="92"/>
      <c r="Q137" s="52"/>
    </row>
    <row r="138" spans="1:17" ht="12.75">
      <c r="A138" s="90"/>
      <c r="B138" s="90"/>
      <c r="C138" s="90"/>
      <c r="D138" s="91"/>
      <c r="E138" s="92"/>
      <c r="F138" s="92"/>
      <c r="G138" s="92"/>
      <c r="H138" s="52"/>
      <c r="I138" s="52"/>
      <c r="J138" s="92"/>
      <c r="K138" s="92"/>
      <c r="L138" s="92"/>
      <c r="M138" s="92"/>
      <c r="N138" s="92"/>
      <c r="O138" s="92"/>
      <c r="P138" s="92"/>
      <c r="Q138" s="52"/>
    </row>
    <row r="139" spans="1:17" ht="12.75">
      <c r="A139" s="90"/>
      <c r="B139" s="90"/>
      <c r="C139" s="90"/>
      <c r="D139" s="91"/>
      <c r="E139" s="92"/>
      <c r="F139" s="92"/>
      <c r="G139" s="92"/>
      <c r="H139" s="52"/>
      <c r="I139" s="52"/>
      <c r="J139" s="92"/>
      <c r="K139" s="92"/>
      <c r="L139" s="92"/>
      <c r="M139" s="92"/>
      <c r="N139" s="92"/>
      <c r="O139" s="92"/>
      <c r="P139" s="92"/>
      <c r="Q139" s="52"/>
    </row>
    <row r="140" spans="1:17" ht="12.75">
      <c r="A140" s="90"/>
      <c r="B140" s="90"/>
      <c r="C140" s="90"/>
      <c r="D140" s="91"/>
      <c r="E140" s="92"/>
      <c r="F140" s="92"/>
      <c r="G140" s="92"/>
      <c r="H140" s="52"/>
      <c r="I140" s="52"/>
      <c r="J140" s="92"/>
      <c r="K140" s="92"/>
      <c r="L140" s="92"/>
      <c r="M140" s="92"/>
      <c r="N140" s="92"/>
      <c r="O140" s="92"/>
      <c r="P140" s="92"/>
      <c r="Q140" s="52"/>
    </row>
    <row r="141" spans="1:17" ht="12.75">
      <c r="A141" s="90"/>
      <c r="B141" s="90"/>
      <c r="C141" s="90"/>
      <c r="D141" s="91"/>
      <c r="E141" s="92"/>
      <c r="F141" s="92"/>
      <c r="G141" s="92"/>
      <c r="H141" s="52"/>
      <c r="I141" s="52"/>
      <c r="J141" s="92"/>
      <c r="K141" s="92"/>
      <c r="L141" s="92"/>
      <c r="M141" s="92"/>
      <c r="N141" s="92"/>
      <c r="O141" s="92"/>
      <c r="P141" s="92"/>
      <c r="Q141" s="52"/>
    </row>
    <row r="142" spans="1:17" ht="12.75">
      <c r="A142" s="90"/>
      <c r="B142" s="90"/>
      <c r="C142" s="90"/>
      <c r="D142" s="91"/>
      <c r="E142" s="92"/>
      <c r="F142" s="92"/>
      <c r="G142" s="92"/>
      <c r="H142" s="52"/>
      <c r="I142" s="52"/>
      <c r="J142" s="92"/>
      <c r="K142" s="92"/>
      <c r="L142" s="92"/>
      <c r="M142" s="92"/>
      <c r="N142" s="92"/>
      <c r="O142" s="92"/>
      <c r="P142" s="92"/>
      <c r="Q142" s="52"/>
    </row>
    <row r="143" spans="1:17" ht="12.75">
      <c r="A143" s="90"/>
      <c r="B143" s="90"/>
      <c r="C143" s="90"/>
      <c r="D143" s="91"/>
      <c r="E143" s="92"/>
      <c r="F143" s="92"/>
      <c r="G143" s="92"/>
      <c r="H143" s="52"/>
      <c r="I143" s="52"/>
      <c r="J143" s="92"/>
      <c r="K143" s="92"/>
      <c r="L143" s="92"/>
      <c r="M143" s="92"/>
      <c r="N143" s="92"/>
      <c r="O143" s="92"/>
      <c r="P143" s="92"/>
      <c r="Q143" s="52"/>
    </row>
    <row r="144" spans="1:17" ht="12.75">
      <c r="A144" s="90"/>
      <c r="B144" s="90"/>
      <c r="C144" s="90"/>
      <c r="D144" s="91"/>
      <c r="E144" s="92"/>
      <c r="F144" s="92"/>
      <c r="G144" s="92"/>
      <c r="H144" s="52"/>
      <c r="I144" s="52"/>
      <c r="J144" s="92"/>
      <c r="K144" s="92"/>
      <c r="L144" s="92"/>
      <c r="M144" s="92"/>
      <c r="N144" s="92"/>
      <c r="O144" s="92"/>
      <c r="P144" s="92"/>
      <c r="Q144" s="52"/>
    </row>
    <row r="145" spans="1:17" ht="12.75">
      <c r="A145" s="90"/>
      <c r="B145" s="90"/>
      <c r="C145" s="90"/>
      <c r="D145" s="91"/>
      <c r="E145" s="92"/>
      <c r="F145" s="92"/>
      <c r="G145" s="92"/>
      <c r="H145" s="52"/>
      <c r="I145" s="52"/>
      <c r="J145" s="92"/>
      <c r="K145" s="92"/>
      <c r="L145" s="92"/>
      <c r="M145" s="92"/>
      <c r="N145" s="92"/>
      <c r="O145" s="92"/>
      <c r="P145" s="92"/>
      <c r="Q145" s="52"/>
    </row>
    <row r="146" spans="1:17" ht="12.75">
      <c r="A146" s="90"/>
      <c r="B146" s="90"/>
      <c r="C146" s="90"/>
      <c r="D146" s="91"/>
      <c r="E146" s="92"/>
      <c r="F146" s="92"/>
      <c r="G146" s="92"/>
      <c r="H146" s="52"/>
      <c r="I146" s="52"/>
      <c r="J146" s="92"/>
      <c r="K146" s="92"/>
      <c r="L146" s="92"/>
      <c r="M146" s="92"/>
      <c r="N146" s="92"/>
      <c r="O146" s="92"/>
      <c r="P146" s="92"/>
      <c r="Q146" s="52"/>
    </row>
    <row r="147" spans="1:17" ht="12.75">
      <c r="A147" s="90"/>
      <c r="B147" s="90"/>
      <c r="C147" s="90"/>
      <c r="D147" s="91"/>
      <c r="E147" s="92"/>
      <c r="F147" s="92"/>
      <c r="G147" s="92"/>
      <c r="H147" s="52"/>
      <c r="I147" s="52"/>
      <c r="J147" s="92"/>
      <c r="K147" s="92"/>
      <c r="L147" s="92"/>
      <c r="M147" s="92"/>
      <c r="N147" s="92"/>
      <c r="O147" s="92"/>
      <c r="P147" s="92"/>
      <c r="Q147" s="52"/>
    </row>
    <row r="148" spans="1:17" ht="12.75">
      <c r="A148" s="90"/>
      <c r="B148" s="90"/>
      <c r="C148" s="90"/>
      <c r="D148" s="91"/>
      <c r="E148" s="92"/>
      <c r="F148" s="92"/>
      <c r="G148" s="92"/>
      <c r="H148" s="52"/>
      <c r="I148" s="52"/>
      <c r="J148" s="92"/>
      <c r="K148" s="92"/>
      <c r="L148" s="92"/>
      <c r="M148" s="92"/>
      <c r="N148" s="92"/>
      <c r="O148" s="92"/>
      <c r="P148" s="92"/>
      <c r="Q148" s="52"/>
    </row>
    <row r="149" spans="1:17" ht="12.75">
      <c r="A149" s="90"/>
      <c r="B149" s="90"/>
      <c r="C149" s="90"/>
      <c r="D149" s="91"/>
      <c r="E149" s="92"/>
      <c r="F149" s="92"/>
      <c r="G149" s="92"/>
      <c r="H149" s="52"/>
      <c r="I149" s="52"/>
      <c r="J149" s="92"/>
      <c r="K149" s="92"/>
      <c r="L149" s="92"/>
      <c r="M149" s="92"/>
      <c r="N149" s="92"/>
      <c r="O149" s="92"/>
      <c r="P149" s="92"/>
      <c r="Q149" s="52"/>
    </row>
    <row r="150" spans="1:17" ht="12.75">
      <c r="A150" s="90"/>
      <c r="B150" s="90"/>
      <c r="C150" s="90"/>
      <c r="D150" s="91"/>
      <c r="E150" s="92"/>
      <c r="F150" s="92"/>
      <c r="G150" s="92"/>
      <c r="H150" s="52"/>
      <c r="I150" s="52"/>
      <c r="J150" s="92"/>
      <c r="K150" s="92"/>
      <c r="L150" s="92"/>
      <c r="M150" s="92"/>
      <c r="N150" s="92"/>
      <c r="O150" s="92"/>
      <c r="P150" s="92"/>
      <c r="Q150" s="52"/>
    </row>
    <row r="151" spans="1:17" ht="12.75">
      <c r="A151" s="90"/>
      <c r="B151" s="90"/>
      <c r="C151" s="90"/>
      <c r="D151" s="91"/>
      <c r="E151" s="92"/>
      <c r="F151" s="92"/>
      <c r="G151" s="92"/>
      <c r="H151" s="52"/>
      <c r="I151" s="52"/>
      <c r="J151" s="92"/>
      <c r="K151" s="92"/>
      <c r="L151" s="92"/>
      <c r="M151" s="92"/>
      <c r="N151" s="92"/>
      <c r="O151" s="92"/>
      <c r="P151" s="92"/>
      <c r="Q151" s="52"/>
    </row>
    <row r="152" spans="1:17" ht="12.75">
      <c r="A152" s="90"/>
      <c r="B152" s="90"/>
      <c r="C152" s="90"/>
      <c r="D152" s="91"/>
      <c r="E152" s="92"/>
      <c r="F152" s="92"/>
      <c r="G152" s="92"/>
      <c r="H152" s="52"/>
      <c r="I152" s="52"/>
      <c r="J152" s="92"/>
      <c r="K152" s="92"/>
      <c r="L152" s="92"/>
      <c r="M152" s="92"/>
      <c r="N152" s="92"/>
      <c r="O152" s="92"/>
      <c r="P152" s="92"/>
      <c r="Q152" s="52"/>
    </row>
    <row r="153" spans="1:17" ht="12.75">
      <c r="A153" s="90"/>
      <c r="B153" s="90"/>
      <c r="C153" s="90"/>
      <c r="D153" s="91"/>
      <c r="E153" s="92"/>
      <c r="F153" s="92"/>
      <c r="G153" s="92"/>
      <c r="H153" s="52"/>
      <c r="I153" s="52"/>
      <c r="J153" s="92"/>
      <c r="K153" s="92"/>
      <c r="L153" s="92"/>
      <c r="M153" s="92"/>
      <c r="N153" s="92"/>
      <c r="O153" s="92"/>
      <c r="P153" s="92"/>
      <c r="Q153" s="52"/>
    </row>
    <row r="154" spans="1:17" ht="12.75">
      <c r="A154" s="90"/>
      <c r="B154" s="90"/>
      <c r="C154" s="90"/>
      <c r="D154" s="91"/>
      <c r="E154" s="92"/>
      <c r="F154" s="92"/>
      <c r="G154" s="92"/>
      <c r="H154" s="52"/>
      <c r="I154" s="52"/>
      <c r="J154" s="92"/>
      <c r="K154" s="92"/>
      <c r="L154" s="92"/>
      <c r="M154" s="92"/>
      <c r="N154" s="92"/>
      <c r="O154" s="92"/>
      <c r="P154" s="92"/>
      <c r="Q154" s="52"/>
    </row>
  </sheetData>
  <sheetProtection selectLockedCells="1" selectUnlockedCells="1"/>
  <mergeCells count="20">
    <mergeCell ref="A7:B7"/>
    <mergeCell ref="C24:G24"/>
    <mergeCell ref="K24:P24"/>
    <mergeCell ref="I26:J26"/>
    <mergeCell ref="F10:K10"/>
    <mergeCell ref="L10:P10"/>
    <mergeCell ref="C18:K18"/>
    <mergeCell ref="C19:K19"/>
    <mergeCell ref="D10:D11"/>
    <mergeCell ref="E10:E11"/>
    <mergeCell ref="A23:B23"/>
    <mergeCell ref="I23:J23"/>
    <mergeCell ref="A1:P1"/>
    <mergeCell ref="A2:P2"/>
    <mergeCell ref="M8:N8"/>
    <mergeCell ref="O8:P8"/>
    <mergeCell ref="E9:P9"/>
    <mergeCell ref="A10:A11"/>
    <mergeCell ref="B10:B11"/>
    <mergeCell ref="C10:C11"/>
  </mergeCells>
  <printOptions horizontalCentered="1"/>
  <pageMargins left="0.4722222222222222" right="0.5513888888888889" top="0.7875" bottom="0.5902777777777778" header="0.5118055555555555" footer="0.19652777777777777"/>
  <pageSetup firstPageNumber="1" useFirstPageNumber="1" horizontalDpi="300" verticalDpi="300" orientation="landscape" paperSize="9" scale="6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Q152"/>
  <sheetViews>
    <sheetView showZeros="0" view="pageBreakPreview" zoomScale="70" zoomScaleNormal="55" zoomScaleSheetLayoutView="70" zoomScalePageLayoutView="0" workbookViewId="0" topLeftCell="A1">
      <selection activeCell="C17" sqref="C17:K17"/>
    </sheetView>
  </sheetViews>
  <sheetFormatPr defaultColWidth="37" defaultRowHeight="15.75"/>
  <cols>
    <col min="1" max="1" width="6.8984375" style="225" customWidth="1"/>
    <col min="2" max="2" width="7.3984375" style="226" customWidth="1"/>
    <col min="3" max="3" width="29.59765625" style="187" customWidth="1"/>
    <col min="4" max="4" width="6.19921875" style="227" customWidth="1"/>
    <col min="5" max="5" width="11.296875" style="225" customWidth="1"/>
    <col min="6" max="6" width="7.3984375" style="187" customWidth="1"/>
    <col min="7" max="7" width="8.19921875" style="187" customWidth="1"/>
    <col min="8" max="9" width="10.19921875" style="228" customWidth="1"/>
    <col min="10" max="10" width="8.3984375" style="187" customWidth="1"/>
    <col min="11" max="11" width="11" style="187" customWidth="1"/>
    <col min="12" max="12" width="12.09765625" style="187" customWidth="1"/>
    <col min="13" max="13" width="11.59765625" style="187" customWidth="1"/>
    <col min="14" max="14" width="12" style="187" customWidth="1"/>
    <col min="15" max="15" width="11.3984375" style="187" customWidth="1"/>
    <col min="16" max="16" width="12.69921875" style="187" customWidth="1"/>
    <col min="17" max="33" width="11.296875" style="187" customWidth="1"/>
    <col min="34" max="16384" width="37" style="187" customWidth="1"/>
  </cols>
  <sheetData>
    <row r="1" spans="1:16" ht="19.5" customHeight="1">
      <c r="A1" s="425" t="s">
        <v>378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</row>
    <row r="2" spans="1:16" ht="19.5" customHeight="1">
      <c r="A2" s="426" t="s">
        <v>379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</row>
    <row r="3" spans="1:16" ht="19.5" customHeight="1">
      <c r="A3" s="188" t="str">
        <f>'1-3 (1)'!A3</f>
        <v>Būves nosaukums:     Tautas nama "Kalngravas" rekonstrukcija- 2. kārta </v>
      </c>
      <c r="B3" s="188"/>
      <c r="C3" s="189"/>
      <c r="D3" s="190"/>
      <c r="E3" s="190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6" ht="19.5" customHeight="1">
      <c r="A4" s="188" t="str">
        <f>'1-3 (1)'!A4</f>
        <v>Objekta nosaukums:  Tautas nama "Kalngravas" rekonstrukcija</v>
      </c>
      <c r="B4" s="188"/>
      <c r="C4" s="189"/>
      <c r="D4" s="190"/>
      <c r="E4" s="190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</row>
    <row r="5" spans="1:16" ht="19.5" customHeight="1">
      <c r="A5" s="188" t="str">
        <f>'1-3 (1)'!A5</f>
        <v>Būves adrese:  Kalngravas 1, Sarkaņu pagasts, Madonas novads</v>
      </c>
      <c r="B5" s="188"/>
      <c r="C5" s="189"/>
      <c r="D5" s="190"/>
      <c r="E5" s="190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</row>
    <row r="6" spans="1:16" ht="19.5" customHeight="1">
      <c r="A6" s="188" t="str">
        <f>'1-3 (1)'!A6</f>
        <v>Pasūtījuma Nr.: </v>
      </c>
      <c r="B6" s="188"/>
      <c r="C6" s="192" t="s">
        <v>845</v>
      </c>
      <c r="D6" s="190"/>
      <c r="E6" s="190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</row>
    <row r="7" spans="1:8" s="4" customFormat="1" ht="25.5" customHeight="1">
      <c r="A7" s="391" t="s">
        <v>852</v>
      </c>
      <c r="B7" s="391"/>
      <c r="C7" s="386"/>
      <c r="D7" s="386"/>
      <c r="E7" s="386"/>
      <c r="F7" s="386"/>
      <c r="G7" s="386"/>
      <c r="H7" s="386"/>
    </row>
    <row r="8" spans="1:16" ht="19.5" customHeight="1">
      <c r="A8" s="188" t="str">
        <f>'1-3 (1)'!A8</f>
        <v>Tāme sastādīta 2013. gada tirgus cenās, pamatojoties uz GP, AR, BK daļas rasējumiem</v>
      </c>
      <c r="B8" s="188"/>
      <c r="C8" s="189"/>
      <c r="D8" s="190"/>
      <c r="E8" s="190"/>
      <c r="F8" s="191"/>
      <c r="G8" s="191"/>
      <c r="H8" s="191"/>
      <c r="I8" s="191"/>
      <c r="J8" s="191"/>
      <c r="K8" s="191"/>
      <c r="L8" s="191"/>
      <c r="M8" s="427" t="s">
        <v>47</v>
      </c>
      <c r="N8" s="427"/>
      <c r="O8" s="428">
        <f>P18</f>
        <v>0</v>
      </c>
      <c r="P8" s="428"/>
    </row>
    <row r="9" spans="1:16" ht="15" customHeight="1">
      <c r="A9" s="193"/>
      <c r="B9" s="193"/>
      <c r="C9" s="194"/>
      <c r="D9" s="195"/>
      <c r="E9" s="196"/>
      <c r="F9" s="197"/>
      <c r="G9" s="197"/>
      <c r="H9" s="197"/>
      <c r="I9" s="197"/>
      <c r="J9" s="197"/>
      <c r="K9" s="196"/>
      <c r="L9" s="197"/>
      <c r="M9" s="197"/>
      <c r="N9" s="197"/>
      <c r="O9" s="197"/>
      <c r="P9" s="197"/>
    </row>
    <row r="10" spans="1:16" ht="19.5" customHeight="1">
      <c r="A10" s="429" t="s">
        <v>4</v>
      </c>
      <c r="B10" s="429" t="s">
        <v>48</v>
      </c>
      <c r="C10" s="430" t="s">
        <v>49</v>
      </c>
      <c r="D10" s="429" t="s">
        <v>50</v>
      </c>
      <c r="E10" s="429" t="s">
        <v>51</v>
      </c>
      <c r="F10" s="431" t="s">
        <v>52</v>
      </c>
      <c r="G10" s="431"/>
      <c r="H10" s="431"/>
      <c r="I10" s="431"/>
      <c r="J10" s="431"/>
      <c r="K10" s="431"/>
      <c r="L10" s="431" t="s">
        <v>53</v>
      </c>
      <c r="M10" s="431"/>
      <c r="N10" s="431"/>
      <c r="O10" s="431"/>
      <c r="P10" s="431"/>
    </row>
    <row r="11" spans="1:16" ht="99.75" customHeight="1">
      <c r="A11" s="429"/>
      <c r="B11" s="429"/>
      <c r="C11" s="430"/>
      <c r="D11" s="429"/>
      <c r="E11" s="429"/>
      <c r="F11" s="26" t="s">
        <v>54</v>
      </c>
      <c r="G11" s="26" t="s">
        <v>55</v>
      </c>
      <c r="H11" s="26" t="s">
        <v>56</v>
      </c>
      <c r="I11" s="26" t="s">
        <v>57</v>
      </c>
      <c r="J11" s="26" t="s">
        <v>58</v>
      </c>
      <c r="K11" s="26" t="s">
        <v>59</v>
      </c>
      <c r="L11" s="26" t="s">
        <v>60</v>
      </c>
      <c r="M11" s="26" t="s">
        <v>56</v>
      </c>
      <c r="N11" s="26" t="s">
        <v>57</v>
      </c>
      <c r="O11" s="26" t="s">
        <v>58</v>
      </c>
      <c r="P11" s="26" t="s">
        <v>61</v>
      </c>
    </row>
    <row r="12" spans="1:16" ht="37.5" customHeight="1">
      <c r="A12" s="198">
        <v>1</v>
      </c>
      <c r="B12" s="26"/>
      <c r="C12" s="199" t="s">
        <v>380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s="207" customFormat="1" ht="37.5" customHeight="1">
      <c r="A13" s="198">
        <v>2</v>
      </c>
      <c r="B13" s="200" t="s">
        <v>381</v>
      </c>
      <c r="C13" s="201" t="s">
        <v>382</v>
      </c>
      <c r="D13" s="202" t="s">
        <v>369</v>
      </c>
      <c r="E13" s="203">
        <v>15</v>
      </c>
      <c r="F13" s="204"/>
      <c r="G13" s="205"/>
      <c r="H13" s="205"/>
      <c r="I13" s="206"/>
      <c r="J13" s="205"/>
      <c r="K13" s="205"/>
      <c r="L13" s="205"/>
      <c r="M13" s="205"/>
      <c r="N13" s="205"/>
      <c r="O13" s="205"/>
      <c r="P13" s="205"/>
    </row>
    <row r="14" spans="1:16" s="207" customFormat="1" ht="37.5" customHeight="1">
      <c r="A14" s="198">
        <v>3</v>
      </c>
      <c r="B14" s="200" t="s">
        <v>383</v>
      </c>
      <c r="C14" s="201" t="s">
        <v>384</v>
      </c>
      <c r="D14" s="202" t="s">
        <v>369</v>
      </c>
      <c r="E14" s="208">
        <v>2</v>
      </c>
      <c r="F14" s="204"/>
      <c r="G14" s="205"/>
      <c r="H14" s="205"/>
      <c r="I14" s="205"/>
      <c r="J14" s="205"/>
      <c r="K14" s="205"/>
      <c r="L14" s="205"/>
      <c r="M14" s="205"/>
      <c r="N14" s="205"/>
      <c r="O14" s="205"/>
      <c r="P14" s="205"/>
    </row>
    <row r="15" spans="1:16" s="207" customFormat="1" ht="56.25" customHeight="1">
      <c r="A15" s="198">
        <v>4</v>
      </c>
      <c r="B15" s="200" t="s">
        <v>385</v>
      </c>
      <c r="C15" s="201" t="s">
        <v>386</v>
      </c>
      <c r="D15" s="202" t="s">
        <v>369</v>
      </c>
      <c r="E15" s="208">
        <v>23</v>
      </c>
      <c r="F15" s="204"/>
      <c r="G15" s="205"/>
      <c r="H15" s="205"/>
      <c r="I15" s="206"/>
      <c r="J15" s="205"/>
      <c r="K15" s="205"/>
      <c r="L15" s="205"/>
      <c r="M15" s="205"/>
      <c r="N15" s="205"/>
      <c r="O15" s="205"/>
      <c r="P15" s="205"/>
    </row>
    <row r="16" spans="1:17" s="207" customFormat="1" ht="30" customHeight="1">
      <c r="A16" s="209"/>
      <c r="B16" s="209"/>
      <c r="C16" s="28" t="s">
        <v>7</v>
      </c>
      <c r="D16" s="28"/>
      <c r="E16" s="28"/>
      <c r="F16" s="28"/>
      <c r="G16" s="28"/>
      <c r="H16" s="28"/>
      <c r="I16" s="28"/>
      <c r="J16" s="28"/>
      <c r="K16" s="28"/>
      <c r="L16" s="29"/>
      <c r="M16" s="29"/>
      <c r="N16" s="29"/>
      <c r="O16" s="29"/>
      <c r="P16" s="29"/>
      <c r="Q16" s="210"/>
    </row>
    <row r="17" spans="1:16" s="207" customFormat="1" ht="30" customHeight="1">
      <c r="A17" s="211"/>
      <c r="B17" s="211"/>
      <c r="C17" s="418" t="s">
        <v>849</v>
      </c>
      <c r="D17" s="418"/>
      <c r="E17" s="418"/>
      <c r="F17" s="418"/>
      <c r="G17" s="418"/>
      <c r="H17" s="418"/>
      <c r="I17" s="418"/>
      <c r="J17" s="418"/>
      <c r="K17" s="418"/>
      <c r="L17" s="30"/>
      <c r="M17" s="30"/>
      <c r="N17" s="30"/>
      <c r="O17" s="30"/>
      <c r="P17" s="31"/>
    </row>
    <row r="18" spans="1:17" s="207" customFormat="1" ht="30" customHeight="1">
      <c r="A18" s="211"/>
      <c r="B18" s="211"/>
      <c r="C18" s="433" t="s">
        <v>71</v>
      </c>
      <c r="D18" s="433"/>
      <c r="E18" s="433"/>
      <c r="F18" s="433"/>
      <c r="G18" s="433"/>
      <c r="H18" s="433"/>
      <c r="I18" s="433"/>
      <c r="J18" s="433"/>
      <c r="K18" s="433"/>
      <c r="L18" s="30"/>
      <c r="M18" s="30"/>
      <c r="N18" s="30"/>
      <c r="O18" s="30"/>
      <c r="P18" s="31"/>
      <c r="Q18" s="212"/>
    </row>
    <row r="19" spans="1:16" ht="17.25" customHeight="1">
      <c r="A19" s="213"/>
      <c r="B19" s="214"/>
      <c r="C19" s="213"/>
      <c r="D19" s="215"/>
      <c r="E19" s="216"/>
      <c r="F19" s="216"/>
      <c r="G19" s="216"/>
      <c r="H19" s="187"/>
      <c r="I19" s="187"/>
      <c r="J19" s="216"/>
      <c r="K19" s="216"/>
      <c r="L19" s="216"/>
      <c r="M19" s="216"/>
      <c r="N19" s="216"/>
      <c r="O19" s="216"/>
      <c r="P19" s="216"/>
    </row>
    <row r="20" spans="1:16" ht="17.25" customHeight="1">
      <c r="A20" s="213"/>
      <c r="B20" s="214"/>
      <c r="C20" s="213"/>
      <c r="D20" s="215"/>
      <c r="E20" s="216"/>
      <c r="F20" s="216"/>
      <c r="G20" s="216"/>
      <c r="H20" s="187"/>
      <c r="I20" s="187"/>
      <c r="J20" s="216"/>
      <c r="K20" s="216"/>
      <c r="L20" s="216"/>
      <c r="M20" s="216"/>
      <c r="N20" s="216"/>
      <c r="O20" s="216"/>
      <c r="P20" s="216"/>
    </row>
    <row r="21" spans="1:16" ht="15.75" customHeight="1">
      <c r="A21" s="213"/>
      <c r="B21" s="214"/>
      <c r="C21" s="213"/>
      <c r="D21" s="215"/>
      <c r="E21" s="216"/>
      <c r="F21" s="216"/>
      <c r="G21" s="216"/>
      <c r="H21" s="187"/>
      <c r="I21" s="187"/>
      <c r="J21" s="216"/>
      <c r="K21" s="216"/>
      <c r="L21" s="216"/>
      <c r="M21" s="216"/>
      <c r="N21" s="216"/>
      <c r="O21" s="216"/>
      <c r="P21" s="216"/>
    </row>
    <row r="22" spans="1:16" s="207" customFormat="1" ht="21.75" customHeight="1">
      <c r="A22" s="432" t="s">
        <v>9</v>
      </c>
      <c r="B22" s="432"/>
      <c r="C22" s="218"/>
      <c r="E22" s="219">
        <f>'1-1 (1)'!E21</f>
        <v>0</v>
      </c>
      <c r="F22" s="220"/>
      <c r="G22" s="220"/>
      <c r="H22" s="221"/>
      <c r="I22" s="434" t="s">
        <v>72</v>
      </c>
      <c r="J22" s="434"/>
      <c r="K22" s="220"/>
      <c r="L22" s="220"/>
      <c r="M22" s="220"/>
      <c r="N22" s="219">
        <f>'1-1 (1)'!N21</f>
        <v>0</v>
      </c>
      <c r="O22" s="220"/>
      <c r="P22" s="220"/>
    </row>
    <row r="23" spans="1:16" s="207" customFormat="1" ht="12.75" customHeight="1">
      <c r="A23" s="217"/>
      <c r="B23" s="217"/>
      <c r="C23" s="435" t="s">
        <v>10</v>
      </c>
      <c r="D23" s="435"/>
      <c r="E23" s="435"/>
      <c r="F23" s="435"/>
      <c r="G23" s="435"/>
      <c r="I23" s="190"/>
      <c r="J23" s="190"/>
      <c r="K23" s="436" t="s">
        <v>10</v>
      </c>
      <c r="L23" s="436"/>
      <c r="M23" s="436"/>
      <c r="N23" s="436"/>
      <c r="O23" s="436"/>
      <c r="P23" s="436"/>
    </row>
    <row r="24" spans="1:16" s="207" customFormat="1" ht="15">
      <c r="A24" s="217"/>
      <c r="B24" s="217"/>
      <c r="C24" s="217"/>
      <c r="D24" s="222"/>
      <c r="E24" s="223"/>
      <c r="F24" s="223"/>
      <c r="G24" s="223"/>
      <c r="J24" s="223"/>
      <c r="K24" s="223"/>
      <c r="L24" s="223"/>
      <c r="M24" s="223"/>
      <c r="N24" s="223"/>
      <c r="O24" s="223"/>
      <c r="P24" s="223"/>
    </row>
    <row r="25" spans="1:16" s="207" customFormat="1" ht="17.25" customHeight="1">
      <c r="A25" s="87"/>
      <c r="B25" s="217"/>
      <c r="C25" s="87"/>
      <c r="D25" s="224"/>
      <c r="E25" s="223"/>
      <c r="F25" s="223"/>
      <c r="G25" s="223"/>
      <c r="I25" s="432" t="s">
        <v>11</v>
      </c>
      <c r="J25" s="432"/>
      <c r="K25" s="218">
        <f>'1-1 (1)'!K24</f>
        <v>0</v>
      </c>
      <c r="L25" s="223"/>
      <c r="M25" s="223"/>
      <c r="N25" s="223"/>
      <c r="O25" s="223"/>
      <c r="P25" s="223"/>
    </row>
    <row r="26" spans="1:16" ht="12.75">
      <c r="A26" s="213"/>
      <c r="B26" s="214"/>
      <c r="C26" s="213"/>
      <c r="D26" s="215"/>
      <c r="E26" s="216"/>
      <c r="F26" s="216"/>
      <c r="G26" s="216"/>
      <c r="H26" s="187"/>
      <c r="I26" s="187"/>
      <c r="J26" s="216"/>
      <c r="K26" s="216"/>
      <c r="L26" s="216"/>
      <c r="M26" s="216"/>
      <c r="N26" s="216"/>
      <c r="O26" s="216"/>
      <c r="P26" s="216"/>
    </row>
    <row r="27" spans="1:16" ht="12.75">
      <c r="A27" s="213"/>
      <c r="B27" s="214"/>
      <c r="C27" s="213"/>
      <c r="D27" s="215"/>
      <c r="E27" s="216"/>
      <c r="F27" s="216"/>
      <c r="G27" s="216"/>
      <c r="H27" s="187"/>
      <c r="I27" s="187"/>
      <c r="J27" s="216"/>
      <c r="K27" s="216"/>
      <c r="L27" s="216"/>
      <c r="M27" s="216"/>
      <c r="N27" s="216"/>
      <c r="O27" s="216"/>
      <c r="P27" s="216"/>
    </row>
    <row r="28" spans="1:16" ht="12.75">
      <c r="A28" s="213"/>
      <c r="B28" s="214"/>
      <c r="C28" s="213"/>
      <c r="D28" s="215"/>
      <c r="E28" s="216"/>
      <c r="F28" s="216"/>
      <c r="G28" s="216"/>
      <c r="H28" s="187"/>
      <c r="I28" s="187"/>
      <c r="J28" s="216"/>
      <c r="K28" s="216"/>
      <c r="L28" s="216"/>
      <c r="M28" s="216"/>
      <c r="N28" s="216"/>
      <c r="O28" s="216"/>
      <c r="P28" s="216"/>
    </row>
    <row r="29" spans="1:16" ht="12.75">
      <c r="A29" s="213"/>
      <c r="B29" s="214"/>
      <c r="C29" s="213"/>
      <c r="D29" s="215"/>
      <c r="E29" s="216"/>
      <c r="F29" s="216"/>
      <c r="G29" s="216"/>
      <c r="H29" s="187"/>
      <c r="I29" s="187"/>
      <c r="J29" s="216"/>
      <c r="K29" s="216"/>
      <c r="L29" s="216"/>
      <c r="M29" s="216"/>
      <c r="N29" s="216"/>
      <c r="O29" s="216"/>
      <c r="P29" s="216"/>
    </row>
    <row r="30" spans="1:16" ht="12.75">
      <c r="A30" s="213"/>
      <c r="B30" s="214"/>
      <c r="C30" s="213"/>
      <c r="D30" s="215"/>
      <c r="E30" s="216"/>
      <c r="F30" s="216"/>
      <c r="G30" s="216"/>
      <c r="H30" s="187"/>
      <c r="I30" s="187"/>
      <c r="J30" s="216"/>
      <c r="K30" s="216"/>
      <c r="L30" s="216"/>
      <c r="M30" s="216"/>
      <c r="N30" s="216"/>
      <c r="O30" s="216"/>
      <c r="P30" s="216"/>
    </row>
    <row r="31" spans="1:16" ht="12.75">
      <c r="A31" s="213"/>
      <c r="B31" s="214"/>
      <c r="C31" s="213"/>
      <c r="D31" s="215"/>
      <c r="E31" s="216"/>
      <c r="F31" s="216"/>
      <c r="G31" s="216"/>
      <c r="H31" s="187"/>
      <c r="I31" s="187"/>
      <c r="J31" s="216"/>
      <c r="K31" s="216"/>
      <c r="L31" s="216"/>
      <c r="M31" s="216"/>
      <c r="N31" s="216"/>
      <c r="O31" s="216"/>
      <c r="P31" s="216"/>
    </row>
    <row r="32" spans="1:16" ht="12.75">
      <c r="A32" s="213"/>
      <c r="B32" s="214"/>
      <c r="C32" s="213"/>
      <c r="D32" s="215"/>
      <c r="E32" s="216"/>
      <c r="F32" s="216"/>
      <c r="G32" s="216"/>
      <c r="H32" s="187"/>
      <c r="I32" s="187"/>
      <c r="J32" s="216"/>
      <c r="K32" s="216"/>
      <c r="L32" s="216"/>
      <c r="M32" s="216"/>
      <c r="N32" s="216"/>
      <c r="O32" s="216"/>
      <c r="P32" s="216"/>
    </row>
    <row r="33" spans="1:16" ht="12.75">
      <c r="A33" s="213"/>
      <c r="B33" s="214"/>
      <c r="C33" s="213"/>
      <c r="D33" s="215"/>
      <c r="E33" s="216"/>
      <c r="F33" s="216"/>
      <c r="G33" s="216"/>
      <c r="H33" s="187"/>
      <c r="I33" s="187"/>
      <c r="J33" s="216"/>
      <c r="K33" s="216"/>
      <c r="L33" s="216"/>
      <c r="M33" s="216"/>
      <c r="N33" s="216"/>
      <c r="O33" s="216"/>
      <c r="P33" s="216"/>
    </row>
    <row r="34" spans="1:16" ht="12.75">
      <c r="A34" s="213"/>
      <c r="B34" s="214"/>
      <c r="C34" s="213"/>
      <c r="D34" s="215"/>
      <c r="E34" s="216"/>
      <c r="F34" s="216"/>
      <c r="G34" s="216"/>
      <c r="H34" s="187"/>
      <c r="I34" s="187"/>
      <c r="J34" s="216"/>
      <c r="K34" s="216"/>
      <c r="L34" s="216"/>
      <c r="M34" s="216"/>
      <c r="N34" s="216"/>
      <c r="O34" s="216"/>
      <c r="P34" s="216"/>
    </row>
    <row r="35" spans="1:16" ht="12.75">
      <c r="A35" s="213"/>
      <c r="B35" s="214"/>
      <c r="C35" s="213"/>
      <c r="D35" s="215"/>
      <c r="E35" s="216"/>
      <c r="F35" s="216"/>
      <c r="G35" s="216"/>
      <c r="H35" s="187"/>
      <c r="I35" s="187"/>
      <c r="J35" s="216"/>
      <c r="K35" s="216"/>
      <c r="L35" s="216"/>
      <c r="M35" s="216"/>
      <c r="N35" s="216"/>
      <c r="O35" s="216"/>
      <c r="P35" s="216"/>
    </row>
    <row r="36" spans="1:16" ht="12.75">
      <c r="A36" s="213"/>
      <c r="B36" s="214"/>
      <c r="C36" s="213"/>
      <c r="D36" s="215"/>
      <c r="E36" s="216"/>
      <c r="F36" s="216"/>
      <c r="G36" s="216"/>
      <c r="H36" s="187"/>
      <c r="I36" s="187"/>
      <c r="J36" s="216"/>
      <c r="K36" s="216"/>
      <c r="L36" s="216"/>
      <c r="M36" s="216"/>
      <c r="N36" s="216"/>
      <c r="O36" s="216"/>
      <c r="P36" s="216"/>
    </row>
    <row r="37" spans="1:16" ht="12.75">
      <c r="A37" s="213"/>
      <c r="B37" s="214"/>
      <c r="C37" s="213"/>
      <c r="D37" s="215"/>
      <c r="E37" s="216"/>
      <c r="F37" s="216"/>
      <c r="G37" s="216"/>
      <c r="H37" s="187"/>
      <c r="I37" s="187"/>
      <c r="J37" s="216"/>
      <c r="K37" s="216"/>
      <c r="L37" s="216"/>
      <c r="M37" s="216"/>
      <c r="N37" s="216"/>
      <c r="O37" s="216"/>
      <c r="P37" s="216"/>
    </row>
    <row r="38" spans="1:16" ht="12.75">
      <c r="A38" s="213"/>
      <c r="B38" s="214"/>
      <c r="C38" s="213"/>
      <c r="D38" s="215"/>
      <c r="E38" s="216"/>
      <c r="F38" s="216"/>
      <c r="G38" s="216"/>
      <c r="H38" s="187"/>
      <c r="I38" s="187"/>
      <c r="J38" s="216"/>
      <c r="K38" s="216"/>
      <c r="L38" s="216"/>
      <c r="M38" s="216"/>
      <c r="N38" s="216"/>
      <c r="O38" s="216"/>
      <c r="P38" s="216"/>
    </row>
    <row r="39" spans="1:16" ht="12.75">
      <c r="A39" s="213"/>
      <c r="B39" s="214"/>
      <c r="C39" s="213"/>
      <c r="D39" s="215"/>
      <c r="E39" s="216"/>
      <c r="F39" s="216"/>
      <c r="G39" s="216"/>
      <c r="H39" s="187"/>
      <c r="I39" s="187"/>
      <c r="J39" s="216"/>
      <c r="K39" s="216"/>
      <c r="L39" s="216"/>
      <c r="M39" s="216"/>
      <c r="N39" s="216"/>
      <c r="O39" s="216"/>
      <c r="P39" s="216"/>
    </row>
    <row r="40" spans="1:16" ht="12.75">
      <c r="A40" s="213"/>
      <c r="B40" s="214"/>
      <c r="C40" s="213"/>
      <c r="D40" s="215"/>
      <c r="E40" s="216"/>
      <c r="F40" s="216"/>
      <c r="G40" s="216"/>
      <c r="H40" s="187"/>
      <c r="I40" s="187"/>
      <c r="J40" s="216"/>
      <c r="K40" s="216"/>
      <c r="L40" s="216"/>
      <c r="M40" s="216"/>
      <c r="N40" s="216"/>
      <c r="O40" s="216"/>
      <c r="P40" s="216"/>
    </row>
    <row r="41" spans="1:16" ht="12.75">
      <c r="A41" s="213"/>
      <c r="B41" s="214"/>
      <c r="C41" s="213"/>
      <c r="D41" s="215"/>
      <c r="E41" s="216"/>
      <c r="F41" s="216"/>
      <c r="G41" s="216"/>
      <c r="H41" s="187"/>
      <c r="I41" s="187"/>
      <c r="J41" s="216"/>
      <c r="K41" s="216"/>
      <c r="L41" s="216"/>
      <c r="M41" s="216"/>
      <c r="N41" s="216"/>
      <c r="O41" s="216"/>
      <c r="P41" s="216"/>
    </row>
    <row r="42" spans="1:16" ht="12.75">
      <c r="A42" s="213"/>
      <c r="B42" s="214"/>
      <c r="C42" s="213"/>
      <c r="D42" s="215"/>
      <c r="E42" s="216"/>
      <c r="F42" s="216"/>
      <c r="G42" s="216"/>
      <c r="H42" s="187"/>
      <c r="I42" s="187"/>
      <c r="J42" s="216"/>
      <c r="K42" s="216"/>
      <c r="L42" s="216"/>
      <c r="M42" s="216"/>
      <c r="N42" s="216"/>
      <c r="O42" s="216"/>
      <c r="P42" s="216"/>
    </row>
    <row r="43" spans="1:16" ht="12.75">
      <c r="A43" s="213"/>
      <c r="B43" s="214"/>
      <c r="C43" s="213"/>
      <c r="D43" s="215"/>
      <c r="E43" s="216"/>
      <c r="F43" s="216"/>
      <c r="G43" s="216"/>
      <c r="H43" s="187"/>
      <c r="I43" s="187"/>
      <c r="J43" s="216"/>
      <c r="K43" s="216"/>
      <c r="L43" s="216"/>
      <c r="M43" s="216"/>
      <c r="N43" s="216"/>
      <c r="O43" s="216"/>
      <c r="P43" s="216"/>
    </row>
    <row r="44" spans="1:16" ht="12.75">
      <c r="A44" s="213"/>
      <c r="B44" s="214"/>
      <c r="C44" s="213"/>
      <c r="D44" s="215"/>
      <c r="E44" s="216"/>
      <c r="F44" s="216"/>
      <c r="G44" s="216"/>
      <c r="H44" s="187"/>
      <c r="I44" s="187"/>
      <c r="J44" s="216"/>
      <c r="K44" s="216"/>
      <c r="L44" s="216"/>
      <c r="M44" s="216"/>
      <c r="N44" s="216"/>
      <c r="O44" s="216"/>
      <c r="P44" s="216"/>
    </row>
    <row r="45" spans="1:16" ht="12.75">
      <c r="A45" s="213"/>
      <c r="B45" s="214"/>
      <c r="C45" s="213"/>
      <c r="D45" s="215"/>
      <c r="E45" s="216"/>
      <c r="F45" s="216"/>
      <c r="G45" s="216"/>
      <c r="H45" s="187"/>
      <c r="I45" s="187"/>
      <c r="J45" s="216"/>
      <c r="K45" s="216"/>
      <c r="L45" s="216"/>
      <c r="M45" s="216"/>
      <c r="N45" s="216"/>
      <c r="O45" s="216"/>
      <c r="P45" s="216"/>
    </row>
    <row r="46" spans="1:16" ht="12.75">
      <c r="A46" s="213"/>
      <c r="B46" s="214"/>
      <c r="C46" s="213"/>
      <c r="D46" s="215"/>
      <c r="E46" s="216"/>
      <c r="F46" s="216"/>
      <c r="G46" s="216"/>
      <c r="H46" s="187"/>
      <c r="I46" s="187"/>
      <c r="J46" s="216"/>
      <c r="K46" s="216"/>
      <c r="L46" s="216"/>
      <c r="M46" s="216"/>
      <c r="N46" s="216"/>
      <c r="O46" s="216"/>
      <c r="P46" s="216"/>
    </row>
    <row r="47" spans="1:16" ht="12.75">
      <c r="A47" s="213"/>
      <c r="B47" s="214"/>
      <c r="C47" s="213"/>
      <c r="D47" s="215"/>
      <c r="E47" s="216"/>
      <c r="F47" s="216"/>
      <c r="G47" s="216"/>
      <c r="H47" s="187"/>
      <c r="I47" s="187"/>
      <c r="J47" s="216"/>
      <c r="K47" s="216"/>
      <c r="L47" s="216"/>
      <c r="M47" s="216"/>
      <c r="N47" s="216"/>
      <c r="O47" s="216"/>
      <c r="P47" s="216"/>
    </row>
    <row r="48" spans="1:16" ht="12.75">
      <c r="A48" s="213"/>
      <c r="B48" s="214"/>
      <c r="C48" s="213"/>
      <c r="D48" s="215"/>
      <c r="E48" s="216"/>
      <c r="F48" s="216"/>
      <c r="G48" s="216"/>
      <c r="H48" s="187"/>
      <c r="I48" s="187"/>
      <c r="J48" s="216"/>
      <c r="K48" s="216"/>
      <c r="L48" s="216"/>
      <c r="M48" s="216"/>
      <c r="N48" s="216"/>
      <c r="O48" s="216"/>
      <c r="P48" s="216"/>
    </row>
    <row r="49" spans="1:16" ht="12.75">
      <c r="A49" s="213"/>
      <c r="B49" s="214"/>
      <c r="C49" s="213"/>
      <c r="D49" s="215"/>
      <c r="E49" s="216"/>
      <c r="F49" s="216"/>
      <c r="G49" s="216"/>
      <c r="H49" s="187"/>
      <c r="I49" s="187"/>
      <c r="J49" s="216"/>
      <c r="K49" s="216"/>
      <c r="L49" s="216"/>
      <c r="M49" s="216"/>
      <c r="N49" s="216"/>
      <c r="O49" s="216"/>
      <c r="P49" s="216"/>
    </row>
    <row r="50" spans="1:16" ht="12.75">
      <c r="A50" s="213"/>
      <c r="B50" s="214"/>
      <c r="C50" s="213"/>
      <c r="D50" s="215"/>
      <c r="E50" s="216"/>
      <c r="F50" s="216"/>
      <c r="G50" s="216"/>
      <c r="H50" s="187"/>
      <c r="I50" s="187"/>
      <c r="J50" s="216"/>
      <c r="K50" s="216"/>
      <c r="L50" s="216"/>
      <c r="M50" s="216"/>
      <c r="N50" s="216"/>
      <c r="O50" s="216"/>
      <c r="P50" s="216"/>
    </row>
    <row r="51" spans="1:16" ht="12.75">
      <c r="A51" s="213"/>
      <c r="B51" s="214"/>
      <c r="C51" s="213"/>
      <c r="D51" s="215"/>
      <c r="E51" s="216"/>
      <c r="F51" s="216"/>
      <c r="G51" s="216"/>
      <c r="H51" s="187"/>
      <c r="I51" s="187"/>
      <c r="J51" s="216"/>
      <c r="K51" s="216"/>
      <c r="L51" s="216"/>
      <c r="M51" s="216"/>
      <c r="N51" s="216"/>
      <c r="O51" s="216"/>
      <c r="P51" s="216"/>
    </row>
    <row r="52" spans="1:16" ht="12.75">
      <c r="A52" s="213"/>
      <c r="B52" s="214"/>
      <c r="C52" s="213"/>
      <c r="D52" s="215"/>
      <c r="E52" s="216"/>
      <c r="F52" s="216"/>
      <c r="G52" s="216"/>
      <c r="H52" s="187"/>
      <c r="I52" s="187"/>
      <c r="J52" s="216"/>
      <c r="K52" s="216"/>
      <c r="L52" s="216"/>
      <c r="M52" s="216"/>
      <c r="N52" s="216"/>
      <c r="O52" s="216"/>
      <c r="P52" s="216"/>
    </row>
    <row r="53" spans="1:16" ht="12.75">
      <c r="A53" s="213"/>
      <c r="B53" s="214"/>
      <c r="C53" s="213"/>
      <c r="D53" s="215"/>
      <c r="E53" s="216"/>
      <c r="F53" s="216"/>
      <c r="G53" s="216"/>
      <c r="H53" s="187"/>
      <c r="I53" s="187"/>
      <c r="J53" s="216"/>
      <c r="K53" s="216"/>
      <c r="L53" s="216"/>
      <c r="M53" s="216"/>
      <c r="N53" s="216"/>
      <c r="O53" s="216"/>
      <c r="P53" s="216"/>
    </row>
    <row r="54" spans="1:16" ht="12.75">
      <c r="A54" s="213"/>
      <c r="B54" s="214"/>
      <c r="C54" s="213"/>
      <c r="D54" s="215"/>
      <c r="E54" s="216"/>
      <c r="F54" s="216"/>
      <c r="G54" s="216"/>
      <c r="H54" s="187"/>
      <c r="I54" s="187"/>
      <c r="J54" s="216"/>
      <c r="K54" s="216"/>
      <c r="L54" s="216"/>
      <c r="M54" s="216"/>
      <c r="N54" s="216"/>
      <c r="O54" s="216"/>
      <c r="P54" s="216"/>
    </row>
    <row r="55" spans="1:16" ht="12.75">
      <c r="A55" s="213"/>
      <c r="B55" s="214"/>
      <c r="C55" s="213"/>
      <c r="D55" s="215"/>
      <c r="E55" s="216"/>
      <c r="F55" s="216"/>
      <c r="G55" s="216"/>
      <c r="H55" s="187"/>
      <c r="I55" s="187"/>
      <c r="J55" s="216"/>
      <c r="K55" s="216"/>
      <c r="L55" s="216"/>
      <c r="M55" s="216"/>
      <c r="N55" s="216"/>
      <c r="O55" s="216"/>
      <c r="P55" s="216"/>
    </row>
    <row r="56" spans="1:16" ht="12.75">
      <c r="A56" s="213"/>
      <c r="B56" s="214"/>
      <c r="C56" s="213"/>
      <c r="D56" s="215"/>
      <c r="E56" s="216"/>
      <c r="F56" s="216"/>
      <c r="G56" s="216"/>
      <c r="H56" s="187"/>
      <c r="I56" s="187"/>
      <c r="J56" s="216"/>
      <c r="K56" s="216"/>
      <c r="L56" s="216"/>
      <c r="M56" s="216"/>
      <c r="N56" s="216"/>
      <c r="O56" s="216"/>
      <c r="P56" s="216"/>
    </row>
    <row r="57" spans="1:16" ht="12.75">
      <c r="A57" s="213"/>
      <c r="B57" s="214"/>
      <c r="C57" s="213"/>
      <c r="D57" s="215"/>
      <c r="E57" s="216"/>
      <c r="F57" s="216"/>
      <c r="G57" s="216"/>
      <c r="H57" s="187"/>
      <c r="I57" s="187"/>
      <c r="J57" s="216"/>
      <c r="K57" s="216"/>
      <c r="L57" s="216"/>
      <c r="M57" s="216"/>
      <c r="N57" s="216"/>
      <c r="O57" s="216"/>
      <c r="P57" s="216"/>
    </row>
    <row r="58" spans="1:16" ht="12.75">
      <c r="A58" s="213"/>
      <c r="B58" s="214"/>
      <c r="C58" s="213"/>
      <c r="D58" s="215"/>
      <c r="E58" s="216"/>
      <c r="F58" s="216"/>
      <c r="G58" s="216"/>
      <c r="H58" s="187"/>
      <c r="I58" s="187"/>
      <c r="J58" s="216"/>
      <c r="K58" s="216"/>
      <c r="L58" s="216"/>
      <c r="M58" s="216"/>
      <c r="N58" s="216"/>
      <c r="O58" s="216"/>
      <c r="P58" s="216"/>
    </row>
    <row r="59" spans="1:16" ht="12.75">
      <c r="A59" s="213"/>
      <c r="B59" s="214"/>
      <c r="C59" s="213"/>
      <c r="D59" s="215"/>
      <c r="E59" s="216"/>
      <c r="F59" s="216"/>
      <c r="G59" s="216"/>
      <c r="H59" s="187"/>
      <c r="I59" s="187"/>
      <c r="J59" s="216"/>
      <c r="K59" s="216"/>
      <c r="L59" s="216"/>
      <c r="M59" s="216"/>
      <c r="N59" s="216"/>
      <c r="O59" s="216"/>
      <c r="P59" s="216"/>
    </row>
    <row r="60" spans="1:16" ht="12.75">
      <c r="A60" s="213"/>
      <c r="B60" s="214"/>
      <c r="C60" s="213"/>
      <c r="D60" s="215"/>
      <c r="E60" s="216"/>
      <c r="F60" s="216"/>
      <c r="G60" s="216"/>
      <c r="H60" s="187"/>
      <c r="I60" s="187"/>
      <c r="J60" s="216"/>
      <c r="K60" s="216"/>
      <c r="L60" s="216"/>
      <c r="M60" s="216"/>
      <c r="N60" s="216"/>
      <c r="O60" s="216"/>
      <c r="P60" s="216"/>
    </row>
    <row r="61" spans="1:16" ht="12.75">
      <c r="A61" s="213"/>
      <c r="B61" s="214"/>
      <c r="C61" s="213"/>
      <c r="D61" s="215"/>
      <c r="E61" s="216"/>
      <c r="F61" s="216"/>
      <c r="G61" s="216"/>
      <c r="H61" s="187"/>
      <c r="I61" s="187"/>
      <c r="J61" s="216"/>
      <c r="K61" s="216"/>
      <c r="L61" s="216"/>
      <c r="M61" s="216"/>
      <c r="N61" s="216"/>
      <c r="O61" s="216"/>
      <c r="P61" s="216"/>
    </row>
    <row r="62" spans="1:16" ht="12.75">
      <c r="A62" s="213"/>
      <c r="B62" s="214"/>
      <c r="C62" s="213"/>
      <c r="D62" s="215"/>
      <c r="E62" s="216"/>
      <c r="F62" s="216"/>
      <c r="G62" s="216"/>
      <c r="H62" s="187"/>
      <c r="I62" s="187"/>
      <c r="J62" s="216"/>
      <c r="K62" s="216"/>
      <c r="L62" s="216"/>
      <c r="M62" s="216"/>
      <c r="N62" s="216"/>
      <c r="O62" s="216"/>
      <c r="P62" s="216"/>
    </row>
    <row r="63" spans="1:16" ht="12.75">
      <c r="A63" s="213"/>
      <c r="B63" s="214"/>
      <c r="C63" s="213"/>
      <c r="D63" s="215"/>
      <c r="E63" s="216"/>
      <c r="F63" s="216"/>
      <c r="G63" s="216"/>
      <c r="H63" s="187"/>
      <c r="I63" s="187"/>
      <c r="J63" s="216"/>
      <c r="K63" s="216"/>
      <c r="L63" s="216"/>
      <c r="M63" s="216"/>
      <c r="N63" s="216"/>
      <c r="O63" s="216"/>
      <c r="P63" s="216"/>
    </row>
    <row r="64" spans="1:16" ht="12.75">
      <c r="A64" s="213"/>
      <c r="B64" s="214"/>
      <c r="C64" s="213"/>
      <c r="D64" s="215"/>
      <c r="E64" s="216"/>
      <c r="F64" s="216"/>
      <c r="G64" s="216"/>
      <c r="H64" s="187"/>
      <c r="I64" s="187"/>
      <c r="J64" s="216"/>
      <c r="K64" s="216"/>
      <c r="L64" s="216"/>
      <c r="M64" s="216"/>
      <c r="N64" s="216"/>
      <c r="O64" s="216"/>
      <c r="P64" s="216"/>
    </row>
    <row r="65" spans="1:16" ht="12.75">
      <c r="A65" s="213"/>
      <c r="B65" s="214"/>
      <c r="C65" s="213"/>
      <c r="D65" s="215"/>
      <c r="E65" s="216"/>
      <c r="F65" s="216"/>
      <c r="G65" s="216"/>
      <c r="H65" s="187"/>
      <c r="I65" s="187"/>
      <c r="J65" s="216"/>
      <c r="K65" s="216"/>
      <c r="L65" s="216"/>
      <c r="M65" s="216"/>
      <c r="N65" s="216"/>
      <c r="O65" s="216"/>
      <c r="P65" s="216"/>
    </row>
    <row r="66" spans="1:16" ht="12.75">
      <c r="A66" s="213"/>
      <c r="B66" s="214"/>
      <c r="C66" s="213"/>
      <c r="D66" s="215"/>
      <c r="E66" s="216"/>
      <c r="F66" s="216"/>
      <c r="G66" s="216"/>
      <c r="H66" s="187"/>
      <c r="I66" s="187"/>
      <c r="J66" s="216"/>
      <c r="K66" s="216"/>
      <c r="L66" s="216"/>
      <c r="M66" s="216"/>
      <c r="N66" s="216"/>
      <c r="O66" s="216"/>
      <c r="P66" s="216"/>
    </row>
    <row r="67" spans="1:16" ht="12.75">
      <c r="A67" s="213"/>
      <c r="B67" s="214"/>
      <c r="C67" s="213"/>
      <c r="D67" s="215"/>
      <c r="E67" s="216"/>
      <c r="F67" s="216"/>
      <c r="G67" s="216"/>
      <c r="H67" s="187"/>
      <c r="I67" s="187"/>
      <c r="J67" s="216"/>
      <c r="K67" s="216"/>
      <c r="L67" s="216"/>
      <c r="M67" s="216"/>
      <c r="N67" s="216"/>
      <c r="O67" s="216"/>
      <c r="P67" s="216"/>
    </row>
    <row r="68" spans="1:16" ht="12.75">
      <c r="A68" s="213"/>
      <c r="B68" s="214"/>
      <c r="C68" s="213"/>
      <c r="D68" s="215"/>
      <c r="E68" s="216"/>
      <c r="F68" s="216"/>
      <c r="G68" s="216"/>
      <c r="H68" s="187"/>
      <c r="I68" s="187"/>
      <c r="J68" s="216"/>
      <c r="K68" s="216"/>
      <c r="L68" s="216"/>
      <c r="M68" s="216"/>
      <c r="N68" s="216"/>
      <c r="O68" s="216"/>
      <c r="P68" s="216"/>
    </row>
    <row r="69" spans="1:16" ht="12.75">
      <c r="A69" s="213"/>
      <c r="B69" s="214"/>
      <c r="C69" s="213"/>
      <c r="D69" s="215"/>
      <c r="E69" s="216"/>
      <c r="F69" s="216"/>
      <c r="G69" s="216"/>
      <c r="H69" s="187"/>
      <c r="I69" s="187"/>
      <c r="J69" s="216"/>
      <c r="K69" s="216"/>
      <c r="L69" s="216"/>
      <c r="M69" s="216"/>
      <c r="N69" s="216"/>
      <c r="O69" s="216"/>
      <c r="P69" s="216"/>
    </row>
    <row r="70" spans="1:16" ht="12.75">
      <c r="A70" s="213"/>
      <c r="B70" s="214"/>
      <c r="C70" s="213"/>
      <c r="D70" s="215"/>
      <c r="E70" s="216"/>
      <c r="F70" s="216"/>
      <c r="G70" s="216"/>
      <c r="H70" s="187"/>
      <c r="I70" s="187"/>
      <c r="J70" s="216"/>
      <c r="K70" s="216"/>
      <c r="L70" s="216"/>
      <c r="M70" s="216"/>
      <c r="N70" s="216"/>
      <c r="O70" s="216"/>
      <c r="P70" s="216"/>
    </row>
    <row r="71" spans="1:16" ht="12.75">
      <c r="A71" s="213"/>
      <c r="B71" s="214"/>
      <c r="C71" s="213"/>
      <c r="D71" s="215"/>
      <c r="E71" s="216"/>
      <c r="F71" s="216"/>
      <c r="G71" s="216"/>
      <c r="H71" s="187"/>
      <c r="I71" s="187"/>
      <c r="J71" s="216"/>
      <c r="K71" s="216"/>
      <c r="L71" s="216"/>
      <c r="M71" s="216"/>
      <c r="N71" s="216"/>
      <c r="O71" s="216"/>
      <c r="P71" s="216"/>
    </row>
    <row r="72" spans="1:16" ht="12.75">
      <c r="A72" s="213"/>
      <c r="B72" s="214"/>
      <c r="C72" s="213"/>
      <c r="D72" s="215"/>
      <c r="E72" s="216"/>
      <c r="F72" s="216"/>
      <c r="G72" s="216"/>
      <c r="H72" s="187"/>
      <c r="I72" s="187"/>
      <c r="J72" s="216"/>
      <c r="K72" s="216"/>
      <c r="L72" s="216"/>
      <c r="M72" s="216"/>
      <c r="N72" s="216"/>
      <c r="O72" s="216"/>
      <c r="P72" s="216"/>
    </row>
    <row r="73" spans="1:16" ht="12.75">
      <c r="A73" s="213"/>
      <c r="B73" s="214"/>
      <c r="C73" s="213"/>
      <c r="D73" s="215"/>
      <c r="E73" s="216"/>
      <c r="F73" s="216"/>
      <c r="G73" s="216"/>
      <c r="H73" s="187"/>
      <c r="I73" s="187"/>
      <c r="J73" s="216"/>
      <c r="K73" s="216"/>
      <c r="L73" s="216"/>
      <c r="M73" s="216"/>
      <c r="N73" s="216"/>
      <c r="O73" s="216"/>
      <c r="P73" s="216"/>
    </row>
    <row r="74" spans="1:16" ht="12.75">
      <c r="A74" s="213"/>
      <c r="B74" s="214"/>
      <c r="C74" s="213"/>
      <c r="D74" s="215"/>
      <c r="E74" s="216"/>
      <c r="F74" s="216"/>
      <c r="G74" s="216"/>
      <c r="H74" s="187"/>
      <c r="I74" s="187"/>
      <c r="J74" s="216"/>
      <c r="K74" s="216"/>
      <c r="L74" s="216"/>
      <c r="M74" s="216"/>
      <c r="N74" s="216"/>
      <c r="O74" s="216"/>
      <c r="P74" s="216"/>
    </row>
    <row r="75" spans="1:16" ht="12.75">
      <c r="A75" s="213"/>
      <c r="B75" s="214"/>
      <c r="C75" s="213"/>
      <c r="D75" s="215"/>
      <c r="E75" s="216"/>
      <c r="F75" s="216"/>
      <c r="G75" s="216"/>
      <c r="H75" s="187"/>
      <c r="I75" s="187"/>
      <c r="J75" s="216"/>
      <c r="K75" s="216"/>
      <c r="L75" s="216"/>
      <c r="M75" s="216"/>
      <c r="N75" s="216"/>
      <c r="O75" s="216"/>
      <c r="P75" s="216"/>
    </row>
    <row r="76" spans="1:16" ht="12.75">
      <c r="A76" s="213"/>
      <c r="B76" s="214"/>
      <c r="C76" s="213"/>
      <c r="D76" s="215"/>
      <c r="E76" s="216"/>
      <c r="F76" s="216"/>
      <c r="G76" s="216"/>
      <c r="H76" s="187"/>
      <c r="I76" s="187"/>
      <c r="J76" s="216"/>
      <c r="K76" s="216"/>
      <c r="L76" s="216"/>
      <c r="M76" s="216"/>
      <c r="N76" s="216"/>
      <c r="O76" s="216"/>
      <c r="P76" s="216"/>
    </row>
    <row r="77" spans="1:16" ht="12.75">
      <c r="A77" s="213"/>
      <c r="B77" s="214"/>
      <c r="C77" s="213"/>
      <c r="D77" s="215"/>
      <c r="E77" s="216"/>
      <c r="F77" s="216"/>
      <c r="G77" s="216"/>
      <c r="H77" s="187"/>
      <c r="I77" s="187"/>
      <c r="J77" s="216"/>
      <c r="K77" s="216"/>
      <c r="L77" s="216"/>
      <c r="M77" s="216"/>
      <c r="N77" s="216"/>
      <c r="O77" s="216"/>
      <c r="P77" s="216"/>
    </row>
    <row r="78" spans="1:16" ht="12.75">
      <c r="A78" s="213"/>
      <c r="B78" s="214"/>
      <c r="C78" s="213"/>
      <c r="D78" s="215"/>
      <c r="E78" s="216"/>
      <c r="F78" s="216"/>
      <c r="G78" s="216"/>
      <c r="H78" s="187"/>
      <c r="I78" s="187"/>
      <c r="J78" s="216"/>
      <c r="K78" s="216"/>
      <c r="L78" s="216"/>
      <c r="M78" s="216"/>
      <c r="N78" s="216"/>
      <c r="O78" s="216"/>
      <c r="P78" s="216"/>
    </row>
    <row r="79" spans="1:16" ht="12.75">
      <c r="A79" s="213"/>
      <c r="B79" s="214"/>
      <c r="C79" s="213"/>
      <c r="D79" s="215"/>
      <c r="E79" s="216"/>
      <c r="F79" s="216"/>
      <c r="G79" s="216"/>
      <c r="H79" s="187"/>
      <c r="I79" s="187"/>
      <c r="J79" s="216"/>
      <c r="K79" s="216"/>
      <c r="L79" s="216"/>
      <c r="M79" s="216"/>
      <c r="N79" s="216"/>
      <c r="O79" s="216"/>
      <c r="P79" s="216"/>
    </row>
    <row r="80" spans="1:16" ht="12.75">
      <c r="A80" s="213"/>
      <c r="B80" s="214"/>
      <c r="C80" s="213"/>
      <c r="D80" s="215"/>
      <c r="E80" s="216"/>
      <c r="F80" s="216"/>
      <c r="G80" s="216"/>
      <c r="H80" s="187"/>
      <c r="I80" s="187"/>
      <c r="J80" s="216"/>
      <c r="K80" s="216"/>
      <c r="L80" s="216"/>
      <c r="M80" s="216"/>
      <c r="N80" s="216"/>
      <c r="O80" s="216"/>
      <c r="P80" s="216"/>
    </row>
    <row r="81" spans="1:16" ht="12.75">
      <c r="A81" s="213"/>
      <c r="B81" s="214"/>
      <c r="C81" s="213"/>
      <c r="D81" s="215"/>
      <c r="E81" s="216"/>
      <c r="F81" s="216"/>
      <c r="G81" s="216"/>
      <c r="H81" s="187"/>
      <c r="I81" s="187"/>
      <c r="J81" s="216"/>
      <c r="K81" s="216"/>
      <c r="L81" s="216"/>
      <c r="M81" s="216"/>
      <c r="N81" s="216"/>
      <c r="O81" s="216"/>
      <c r="P81" s="216"/>
    </row>
    <row r="82" spans="1:16" ht="12.75">
      <c r="A82" s="213"/>
      <c r="B82" s="214"/>
      <c r="C82" s="213"/>
      <c r="D82" s="215"/>
      <c r="E82" s="216"/>
      <c r="F82" s="216"/>
      <c r="G82" s="216"/>
      <c r="H82" s="187"/>
      <c r="I82" s="187"/>
      <c r="J82" s="216"/>
      <c r="K82" s="216"/>
      <c r="L82" s="216"/>
      <c r="M82" s="216"/>
      <c r="N82" s="216"/>
      <c r="O82" s="216"/>
      <c r="P82" s="216"/>
    </row>
    <row r="83" spans="1:16" ht="12.75">
      <c r="A83" s="213"/>
      <c r="B83" s="214"/>
      <c r="C83" s="213"/>
      <c r="D83" s="215"/>
      <c r="E83" s="216"/>
      <c r="F83" s="216"/>
      <c r="G83" s="216"/>
      <c r="H83" s="187"/>
      <c r="I83" s="187"/>
      <c r="J83" s="216"/>
      <c r="K83" s="216"/>
      <c r="L83" s="216"/>
      <c r="M83" s="216"/>
      <c r="N83" s="216"/>
      <c r="O83" s="216"/>
      <c r="P83" s="216"/>
    </row>
    <row r="84" spans="1:16" ht="12.75">
      <c r="A84" s="213"/>
      <c r="B84" s="214"/>
      <c r="C84" s="213"/>
      <c r="D84" s="215"/>
      <c r="E84" s="216"/>
      <c r="F84" s="216"/>
      <c r="G84" s="216"/>
      <c r="H84" s="187"/>
      <c r="I84" s="187"/>
      <c r="J84" s="216"/>
      <c r="K84" s="216"/>
      <c r="L84" s="216"/>
      <c r="M84" s="216"/>
      <c r="N84" s="216"/>
      <c r="O84" s="216"/>
      <c r="P84" s="216"/>
    </row>
    <row r="85" spans="1:16" ht="12.75">
      <c r="A85" s="213"/>
      <c r="B85" s="214"/>
      <c r="C85" s="213"/>
      <c r="D85" s="215"/>
      <c r="E85" s="216"/>
      <c r="F85" s="216"/>
      <c r="G85" s="216"/>
      <c r="H85" s="187"/>
      <c r="I85" s="187"/>
      <c r="J85" s="216"/>
      <c r="K85" s="216"/>
      <c r="L85" s="216"/>
      <c r="M85" s="216"/>
      <c r="N85" s="216"/>
      <c r="O85" s="216"/>
      <c r="P85" s="216"/>
    </row>
    <row r="86" spans="1:16" ht="12.75">
      <c r="A86" s="213"/>
      <c r="B86" s="214"/>
      <c r="C86" s="213"/>
      <c r="D86" s="215"/>
      <c r="E86" s="216"/>
      <c r="F86" s="216"/>
      <c r="G86" s="216"/>
      <c r="H86" s="187"/>
      <c r="I86" s="187"/>
      <c r="J86" s="216"/>
      <c r="K86" s="216"/>
      <c r="L86" s="216"/>
      <c r="M86" s="216"/>
      <c r="N86" s="216"/>
      <c r="O86" s="216"/>
      <c r="P86" s="216"/>
    </row>
    <row r="87" spans="1:16" ht="12.75">
      <c r="A87" s="213"/>
      <c r="B87" s="214"/>
      <c r="C87" s="213"/>
      <c r="D87" s="215"/>
      <c r="E87" s="216"/>
      <c r="F87" s="216"/>
      <c r="G87" s="216"/>
      <c r="H87" s="187"/>
      <c r="I87" s="187"/>
      <c r="J87" s="216"/>
      <c r="K87" s="216"/>
      <c r="L87" s="216"/>
      <c r="M87" s="216"/>
      <c r="N87" s="216"/>
      <c r="O87" s="216"/>
      <c r="P87" s="216"/>
    </row>
    <row r="88" spans="1:16" ht="12.75">
      <c r="A88" s="213"/>
      <c r="B88" s="214"/>
      <c r="C88" s="213"/>
      <c r="D88" s="215"/>
      <c r="E88" s="216"/>
      <c r="F88" s="216"/>
      <c r="G88" s="216"/>
      <c r="H88" s="187"/>
      <c r="I88" s="187"/>
      <c r="J88" s="216"/>
      <c r="K88" s="216"/>
      <c r="L88" s="216"/>
      <c r="M88" s="216"/>
      <c r="N88" s="216"/>
      <c r="O88" s="216"/>
      <c r="P88" s="216"/>
    </row>
    <row r="89" spans="1:16" ht="12.75">
      <c r="A89" s="213"/>
      <c r="B89" s="214"/>
      <c r="C89" s="213"/>
      <c r="D89" s="215"/>
      <c r="E89" s="216"/>
      <c r="F89" s="216"/>
      <c r="G89" s="216"/>
      <c r="H89" s="187"/>
      <c r="I89" s="187"/>
      <c r="J89" s="216"/>
      <c r="K89" s="216"/>
      <c r="L89" s="216"/>
      <c r="M89" s="216"/>
      <c r="N89" s="216"/>
      <c r="O89" s="216"/>
      <c r="P89" s="216"/>
    </row>
    <row r="90" spans="1:16" ht="12.75">
      <c r="A90" s="213"/>
      <c r="B90" s="214"/>
      <c r="C90" s="213"/>
      <c r="D90" s="215"/>
      <c r="E90" s="216"/>
      <c r="F90" s="216"/>
      <c r="G90" s="216"/>
      <c r="H90" s="187"/>
      <c r="I90" s="187"/>
      <c r="J90" s="216"/>
      <c r="K90" s="216"/>
      <c r="L90" s="216"/>
      <c r="M90" s="216"/>
      <c r="N90" s="216"/>
      <c r="O90" s="216"/>
      <c r="P90" s="216"/>
    </row>
    <row r="91" spans="1:16" ht="12.75">
      <c r="A91" s="213"/>
      <c r="B91" s="214"/>
      <c r="C91" s="213"/>
      <c r="D91" s="215"/>
      <c r="E91" s="216"/>
      <c r="F91" s="216"/>
      <c r="G91" s="216"/>
      <c r="H91" s="187"/>
      <c r="I91" s="187"/>
      <c r="J91" s="216"/>
      <c r="K91" s="216"/>
      <c r="L91" s="216"/>
      <c r="M91" s="216"/>
      <c r="N91" s="216"/>
      <c r="O91" s="216"/>
      <c r="P91" s="216"/>
    </row>
    <row r="92" spans="1:16" ht="12.75">
      <c r="A92" s="213"/>
      <c r="B92" s="214"/>
      <c r="C92" s="213"/>
      <c r="D92" s="215"/>
      <c r="E92" s="216"/>
      <c r="F92" s="216"/>
      <c r="G92" s="216"/>
      <c r="H92" s="187"/>
      <c r="I92" s="187"/>
      <c r="J92" s="216"/>
      <c r="K92" s="216"/>
      <c r="L92" s="216"/>
      <c r="M92" s="216"/>
      <c r="N92" s="216"/>
      <c r="O92" s="216"/>
      <c r="P92" s="216"/>
    </row>
    <row r="93" spans="1:16" ht="12.75">
      <c r="A93" s="213"/>
      <c r="B93" s="214"/>
      <c r="C93" s="213"/>
      <c r="D93" s="215"/>
      <c r="E93" s="216"/>
      <c r="F93" s="216"/>
      <c r="G93" s="216"/>
      <c r="H93" s="187"/>
      <c r="I93" s="187"/>
      <c r="J93" s="216"/>
      <c r="K93" s="216"/>
      <c r="L93" s="216"/>
      <c r="M93" s="216"/>
      <c r="N93" s="216"/>
      <c r="O93" s="216"/>
      <c r="P93" s="216"/>
    </row>
    <row r="94" spans="1:16" ht="12.75">
      <c r="A94" s="213"/>
      <c r="B94" s="214"/>
      <c r="C94" s="213"/>
      <c r="D94" s="215"/>
      <c r="E94" s="216"/>
      <c r="F94" s="216"/>
      <c r="G94" s="216"/>
      <c r="H94" s="187"/>
      <c r="I94" s="187"/>
      <c r="J94" s="216"/>
      <c r="K94" s="216"/>
      <c r="L94" s="216"/>
      <c r="M94" s="216"/>
      <c r="N94" s="216"/>
      <c r="O94" s="216"/>
      <c r="P94" s="216"/>
    </row>
    <row r="95" spans="1:16" ht="12.75">
      <c r="A95" s="213"/>
      <c r="B95" s="214"/>
      <c r="C95" s="213"/>
      <c r="D95" s="215"/>
      <c r="E95" s="216"/>
      <c r="F95" s="216"/>
      <c r="G95" s="216"/>
      <c r="H95" s="187"/>
      <c r="I95" s="187"/>
      <c r="J95" s="216"/>
      <c r="K95" s="216"/>
      <c r="L95" s="216"/>
      <c r="M95" s="216"/>
      <c r="N95" s="216"/>
      <c r="O95" s="216"/>
      <c r="P95" s="216"/>
    </row>
    <row r="96" spans="1:16" ht="12.75">
      <c r="A96" s="213"/>
      <c r="B96" s="214"/>
      <c r="C96" s="213"/>
      <c r="D96" s="215"/>
      <c r="E96" s="216"/>
      <c r="F96" s="216"/>
      <c r="G96" s="216"/>
      <c r="H96" s="187"/>
      <c r="I96" s="187"/>
      <c r="J96" s="216"/>
      <c r="K96" s="216"/>
      <c r="L96" s="216"/>
      <c r="M96" s="216"/>
      <c r="N96" s="216"/>
      <c r="O96" s="216"/>
      <c r="P96" s="216"/>
    </row>
    <row r="97" spans="1:16" ht="12.75">
      <c r="A97" s="213"/>
      <c r="B97" s="214"/>
      <c r="C97" s="213"/>
      <c r="D97" s="215"/>
      <c r="E97" s="216"/>
      <c r="F97" s="216"/>
      <c r="G97" s="216"/>
      <c r="H97" s="187"/>
      <c r="I97" s="187"/>
      <c r="J97" s="216"/>
      <c r="K97" s="216"/>
      <c r="L97" s="216"/>
      <c r="M97" s="216"/>
      <c r="N97" s="216"/>
      <c r="O97" s="216"/>
      <c r="P97" s="216"/>
    </row>
    <row r="98" spans="1:16" ht="12.75">
      <c r="A98" s="213"/>
      <c r="B98" s="214"/>
      <c r="C98" s="213"/>
      <c r="D98" s="215"/>
      <c r="E98" s="216"/>
      <c r="F98" s="216"/>
      <c r="G98" s="216"/>
      <c r="H98" s="187"/>
      <c r="I98" s="187"/>
      <c r="J98" s="216"/>
      <c r="K98" s="216"/>
      <c r="L98" s="216"/>
      <c r="M98" s="216"/>
      <c r="N98" s="216"/>
      <c r="O98" s="216"/>
      <c r="P98" s="216"/>
    </row>
    <row r="99" spans="1:16" ht="12.75">
      <c r="A99" s="213"/>
      <c r="B99" s="214"/>
      <c r="C99" s="213"/>
      <c r="D99" s="215"/>
      <c r="E99" s="216"/>
      <c r="F99" s="216"/>
      <c r="G99" s="216"/>
      <c r="H99" s="187"/>
      <c r="I99" s="187"/>
      <c r="J99" s="216"/>
      <c r="K99" s="216"/>
      <c r="L99" s="216"/>
      <c r="M99" s="216"/>
      <c r="N99" s="216"/>
      <c r="O99" s="216"/>
      <c r="P99" s="216"/>
    </row>
    <row r="100" spans="1:16" ht="12.75">
      <c r="A100" s="213"/>
      <c r="B100" s="214"/>
      <c r="C100" s="213"/>
      <c r="D100" s="215"/>
      <c r="E100" s="216"/>
      <c r="F100" s="216"/>
      <c r="G100" s="216"/>
      <c r="H100" s="187"/>
      <c r="I100" s="187"/>
      <c r="J100" s="216"/>
      <c r="K100" s="216"/>
      <c r="L100" s="216"/>
      <c r="M100" s="216"/>
      <c r="N100" s="216"/>
      <c r="O100" s="216"/>
      <c r="P100" s="216"/>
    </row>
    <row r="101" spans="1:16" ht="12.75">
      <c r="A101" s="213"/>
      <c r="B101" s="214"/>
      <c r="C101" s="213"/>
      <c r="D101" s="215"/>
      <c r="E101" s="216"/>
      <c r="F101" s="216"/>
      <c r="G101" s="216"/>
      <c r="H101" s="187"/>
      <c r="I101" s="187"/>
      <c r="J101" s="216"/>
      <c r="K101" s="216"/>
      <c r="L101" s="216"/>
      <c r="M101" s="216"/>
      <c r="N101" s="216"/>
      <c r="O101" s="216"/>
      <c r="P101" s="216"/>
    </row>
    <row r="102" spans="1:16" ht="12.75">
      <c r="A102" s="213"/>
      <c r="B102" s="214"/>
      <c r="C102" s="213"/>
      <c r="D102" s="215"/>
      <c r="E102" s="216"/>
      <c r="F102" s="216"/>
      <c r="G102" s="216"/>
      <c r="H102" s="187"/>
      <c r="I102" s="187"/>
      <c r="J102" s="216"/>
      <c r="K102" s="216"/>
      <c r="L102" s="216"/>
      <c r="M102" s="216"/>
      <c r="N102" s="216"/>
      <c r="O102" s="216"/>
      <c r="P102" s="216"/>
    </row>
    <row r="103" spans="1:16" ht="12.75">
      <c r="A103" s="213"/>
      <c r="B103" s="214"/>
      <c r="C103" s="213"/>
      <c r="D103" s="215"/>
      <c r="E103" s="216"/>
      <c r="F103" s="216"/>
      <c r="G103" s="216"/>
      <c r="H103" s="187"/>
      <c r="I103" s="187"/>
      <c r="J103" s="216"/>
      <c r="K103" s="216"/>
      <c r="L103" s="216"/>
      <c r="M103" s="216"/>
      <c r="N103" s="216"/>
      <c r="O103" s="216"/>
      <c r="P103" s="216"/>
    </row>
    <row r="104" spans="1:16" ht="12.75">
      <c r="A104" s="213"/>
      <c r="B104" s="214"/>
      <c r="C104" s="213"/>
      <c r="D104" s="215"/>
      <c r="E104" s="216"/>
      <c r="F104" s="216"/>
      <c r="G104" s="216"/>
      <c r="H104" s="187"/>
      <c r="I104" s="187"/>
      <c r="J104" s="216"/>
      <c r="K104" s="216"/>
      <c r="L104" s="216"/>
      <c r="M104" s="216"/>
      <c r="N104" s="216"/>
      <c r="O104" s="216"/>
      <c r="P104" s="216"/>
    </row>
    <row r="105" spans="1:16" ht="12.75">
      <c r="A105" s="213"/>
      <c r="B105" s="214"/>
      <c r="C105" s="213"/>
      <c r="D105" s="215"/>
      <c r="E105" s="216"/>
      <c r="F105" s="216"/>
      <c r="G105" s="216"/>
      <c r="H105" s="187"/>
      <c r="I105" s="187"/>
      <c r="J105" s="216"/>
      <c r="K105" s="216"/>
      <c r="L105" s="216"/>
      <c r="M105" s="216"/>
      <c r="N105" s="216"/>
      <c r="O105" s="216"/>
      <c r="P105" s="216"/>
    </row>
    <row r="106" spans="1:16" ht="12.75">
      <c r="A106" s="213"/>
      <c r="B106" s="214"/>
      <c r="C106" s="213"/>
      <c r="D106" s="215"/>
      <c r="E106" s="216"/>
      <c r="F106" s="216"/>
      <c r="G106" s="216"/>
      <c r="H106" s="187"/>
      <c r="I106" s="187"/>
      <c r="J106" s="216"/>
      <c r="K106" s="216"/>
      <c r="L106" s="216"/>
      <c r="M106" s="216"/>
      <c r="N106" s="216"/>
      <c r="O106" s="216"/>
      <c r="P106" s="216"/>
    </row>
    <row r="107" spans="1:16" ht="12.75">
      <c r="A107" s="213"/>
      <c r="B107" s="214"/>
      <c r="C107" s="213"/>
      <c r="D107" s="215"/>
      <c r="E107" s="216"/>
      <c r="F107" s="216"/>
      <c r="G107" s="216"/>
      <c r="H107" s="187"/>
      <c r="I107" s="187"/>
      <c r="J107" s="216"/>
      <c r="K107" s="216"/>
      <c r="L107" s="216"/>
      <c r="M107" s="216"/>
      <c r="N107" s="216"/>
      <c r="O107" s="216"/>
      <c r="P107" s="216"/>
    </row>
    <row r="108" spans="1:16" ht="12.75">
      <c r="A108" s="213"/>
      <c r="B108" s="214"/>
      <c r="C108" s="213"/>
      <c r="D108" s="215"/>
      <c r="E108" s="216"/>
      <c r="F108" s="216"/>
      <c r="G108" s="216"/>
      <c r="H108" s="187"/>
      <c r="I108" s="187"/>
      <c r="J108" s="216"/>
      <c r="K108" s="216"/>
      <c r="L108" s="216"/>
      <c r="M108" s="216"/>
      <c r="N108" s="216"/>
      <c r="O108" s="216"/>
      <c r="P108" s="216"/>
    </row>
    <row r="109" spans="1:16" ht="12.75">
      <c r="A109" s="213"/>
      <c r="B109" s="214"/>
      <c r="C109" s="213"/>
      <c r="D109" s="215"/>
      <c r="E109" s="216"/>
      <c r="F109" s="216"/>
      <c r="G109" s="216"/>
      <c r="H109" s="187"/>
      <c r="I109" s="187"/>
      <c r="J109" s="216"/>
      <c r="K109" s="216"/>
      <c r="L109" s="216"/>
      <c r="M109" s="216"/>
      <c r="N109" s="216"/>
      <c r="O109" s="216"/>
      <c r="P109" s="216"/>
    </row>
    <row r="110" spans="1:16" ht="12.75">
      <c r="A110" s="213"/>
      <c r="B110" s="214"/>
      <c r="C110" s="213"/>
      <c r="D110" s="215"/>
      <c r="E110" s="216"/>
      <c r="F110" s="216"/>
      <c r="G110" s="216"/>
      <c r="H110" s="187"/>
      <c r="I110" s="187"/>
      <c r="J110" s="216"/>
      <c r="K110" s="216"/>
      <c r="L110" s="216"/>
      <c r="M110" s="216"/>
      <c r="N110" s="216"/>
      <c r="O110" s="216"/>
      <c r="P110" s="216"/>
    </row>
    <row r="111" spans="1:16" ht="12.75">
      <c r="A111" s="213"/>
      <c r="B111" s="214"/>
      <c r="C111" s="213"/>
      <c r="D111" s="215"/>
      <c r="E111" s="216"/>
      <c r="F111" s="216"/>
      <c r="G111" s="216"/>
      <c r="H111" s="187"/>
      <c r="I111" s="187"/>
      <c r="J111" s="216"/>
      <c r="K111" s="216"/>
      <c r="L111" s="216"/>
      <c r="M111" s="216"/>
      <c r="N111" s="216"/>
      <c r="O111" s="216"/>
      <c r="P111" s="216"/>
    </row>
    <row r="112" spans="1:16" ht="12.75">
      <c r="A112" s="213"/>
      <c r="B112" s="214"/>
      <c r="C112" s="213"/>
      <c r="D112" s="215"/>
      <c r="E112" s="216"/>
      <c r="F112" s="216"/>
      <c r="G112" s="216"/>
      <c r="H112" s="187"/>
      <c r="I112" s="187"/>
      <c r="J112" s="216"/>
      <c r="K112" s="216"/>
      <c r="L112" s="216"/>
      <c r="M112" s="216"/>
      <c r="N112" s="216"/>
      <c r="O112" s="216"/>
      <c r="P112" s="216"/>
    </row>
    <row r="113" spans="1:16" ht="12.75">
      <c r="A113" s="213"/>
      <c r="B113" s="214"/>
      <c r="C113" s="213"/>
      <c r="D113" s="215"/>
      <c r="E113" s="216"/>
      <c r="F113" s="216"/>
      <c r="G113" s="216"/>
      <c r="H113" s="187"/>
      <c r="I113" s="187"/>
      <c r="J113" s="216"/>
      <c r="K113" s="216"/>
      <c r="L113" s="216"/>
      <c r="M113" s="216"/>
      <c r="N113" s="216"/>
      <c r="O113" s="216"/>
      <c r="P113" s="216"/>
    </row>
    <row r="114" spans="1:16" ht="12.75">
      <c r="A114" s="213"/>
      <c r="B114" s="214"/>
      <c r="C114" s="213"/>
      <c r="D114" s="215"/>
      <c r="E114" s="216"/>
      <c r="F114" s="216"/>
      <c r="G114" s="216"/>
      <c r="H114" s="187"/>
      <c r="I114" s="187"/>
      <c r="J114" s="216"/>
      <c r="K114" s="216"/>
      <c r="L114" s="216"/>
      <c r="M114" s="216"/>
      <c r="N114" s="216"/>
      <c r="O114" s="216"/>
      <c r="P114" s="216"/>
    </row>
    <row r="115" spans="1:16" ht="12.75">
      <c r="A115" s="213"/>
      <c r="B115" s="214"/>
      <c r="C115" s="213"/>
      <c r="D115" s="215"/>
      <c r="E115" s="216"/>
      <c r="F115" s="216"/>
      <c r="G115" s="216"/>
      <c r="H115" s="187"/>
      <c r="I115" s="187"/>
      <c r="J115" s="216"/>
      <c r="K115" s="216"/>
      <c r="L115" s="216"/>
      <c r="M115" s="216"/>
      <c r="N115" s="216"/>
      <c r="O115" s="216"/>
      <c r="P115" s="216"/>
    </row>
    <row r="116" spans="1:16" ht="12.75">
      <c r="A116" s="213"/>
      <c r="B116" s="214"/>
      <c r="C116" s="213"/>
      <c r="D116" s="215"/>
      <c r="E116" s="216"/>
      <c r="F116" s="216"/>
      <c r="G116" s="216"/>
      <c r="H116" s="187"/>
      <c r="I116" s="187"/>
      <c r="J116" s="216"/>
      <c r="K116" s="216"/>
      <c r="L116" s="216"/>
      <c r="M116" s="216"/>
      <c r="N116" s="216"/>
      <c r="O116" s="216"/>
      <c r="P116" s="216"/>
    </row>
    <row r="117" spans="1:16" ht="12.75">
      <c r="A117" s="213"/>
      <c r="B117" s="214"/>
      <c r="C117" s="213"/>
      <c r="D117" s="215"/>
      <c r="E117" s="216"/>
      <c r="F117" s="216"/>
      <c r="G117" s="216"/>
      <c r="H117" s="187"/>
      <c r="I117" s="187"/>
      <c r="J117" s="216"/>
      <c r="K117" s="216"/>
      <c r="L117" s="216"/>
      <c r="M117" s="216"/>
      <c r="N117" s="216"/>
      <c r="O117" s="216"/>
      <c r="P117" s="216"/>
    </row>
    <row r="118" spans="1:16" ht="12.75">
      <c r="A118" s="213"/>
      <c r="B118" s="214"/>
      <c r="C118" s="213"/>
      <c r="D118" s="215"/>
      <c r="E118" s="216"/>
      <c r="F118" s="216"/>
      <c r="G118" s="216"/>
      <c r="H118" s="187"/>
      <c r="I118" s="187"/>
      <c r="J118" s="216"/>
      <c r="K118" s="216"/>
      <c r="L118" s="216"/>
      <c r="M118" s="216"/>
      <c r="N118" s="216"/>
      <c r="O118" s="216"/>
      <c r="P118" s="216"/>
    </row>
    <row r="119" spans="1:16" ht="12.75">
      <c r="A119" s="213"/>
      <c r="B119" s="214"/>
      <c r="C119" s="213"/>
      <c r="D119" s="215"/>
      <c r="E119" s="216"/>
      <c r="F119" s="216"/>
      <c r="G119" s="216"/>
      <c r="H119" s="187"/>
      <c r="I119" s="187"/>
      <c r="J119" s="216"/>
      <c r="K119" s="216"/>
      <c r="L119" s="216"/>
      <c r="M119" s="216"/>
      <c r="N119" s="216"/>
      <c r="O119" s="216"/>
      <c r="P119" s="216"/>
    </row>
    <row r="120" spans="1:16" ht="12.75">
      <c r="A120" s="213"/>
      <c r="B120" s="214"/>
      <c r="C120" s="213"/>
      <c r="D120" s="215"/>
      <c r="E120" s="216"/>
      <c r="F120" s="216"/>
      <c r="G120" s="216"/>
      <c r="H120" s="187"/>
      <c r="I120" s="187"/>
      <c r="J120" s="216"/>
      <c r="K120" s="216"/>
      <c r="L120" s="216"/>
      <c r="M120" s="216"/>
      <c r="N120" s="216"/>
      <c r="O120" s="216"/>
      <c r="P120" s="216"/>
    </row>
    <row r="121" spans="1:16" ht="12.75">
      <c r="A121" s="213"/>
      <c r="B121" s="214"/>
      <c r="C121" s="213"/>
      <c r="D121" s="215"/>
      <c r="E121" s="216"/>
      <c r="F121" s="216"/>
      <c r="G121" s="216"/>
      <c r="H121" s="187"/>
      <c r="I121" s="187"/>
      <c r="J121" s="216"/>
      <c r="K121" s="216"/>
      <c r="L121" s="216"/>
      <c r="M121" s="216"/>
      <c r="N121" s="216"/>
      <c r="O121" s="216"/>
      <c r="P121" s="216"/>
    </row>
    <row r="122" spans="1:16" ht="12.75">
      <c r="A122" s="213"/>
      <c r="B122" s="214"/>
      <c r="C122" s="213"/>
      <c r="D122" s="215"/>
      <c r="E122" s="216"/>
      <c r="F122" s="216"/>
      <c r="G122" s="216"/>
      <c r="H122" s="187"/>
      <c r="I122" s="187"/>
      <c r="J122" s="216"/>
      <c r="K122" s="216"/>
      <c r="L122" s="216"/>
      <c r="M122" s="216"/>
      <c r="N122" s="216"/>
      <c r="O122" s="216"/>
      <c r="P122" s="216"/>
    </row>
    <row r="123" spans="1:16" ht="12.75">
      <c r="A123" s="213"/>
      <c r="B123" s="214"/>
      <c r="C123" s="213"/>
      <c r="D123" s="215"/>
      <c r="E123" s="216"/>
      <c r="F123" s="216"/>
      <c r="G123" s="216"/>
      <c r="H123" s="187"/>
      <c r="I123" s="187"/>
      <c r="J123" s="216"/>
      <c r="K123" s="216"/>
      <c r="L123" s="216"/>
      <c r="M123" s="216"/>
      <c r="N123" s="216"/>
      <c r="O123" s="216"/>
      <c r="P123" s="216"/>
    </row>
    <row r="124" spans="1:16" ht="12.75">
      <c r="A124" s="213"/>
      <c r="B124" s="214"/>
      <c r="C124" s="213"/>
      <c r="D124" s="215"/>
      <c r="E124" s="216"/>
      <c r="F124" s="216"/>
      <c r="G124" s="216"/>
      <c r="H124" s="187"/>
      <c r="I124" s="187"/>
      <c r="J124" s="216"/>
      <c r="K124" s="216"/>
      <c r="L124" s="216"/>
      <c r="M124" s="216"/>
      <c r="N124" s="216"/>
      <c r="O124" s="216"/>
      <c r="P124" s="216"/>
    </row>
    <row r="125" spans="1:16" ht="12.75">
      <c r="A125" s="213"/>
      <c r="B125" s="214"/>
      <c r="C125" s="213"/>
      <c r="D125" s="215"/>
      <c r="E125" s="216"/>
      <c r="F125" s="216"/>
      <c r="G125" s="216"/>
      <c r="H125" s="187"/>
      <c r="I125" s="187"/>
      <c r="J125" s="216"/>
      <c r="K125" s="216"/>
      <c r="L125" s="216"/>
      <c r="M125" s="216"/>
      <c r="N125" s="216"/>
      <c r="O125" s="216"/>
      <c r="P125" s="216"/>
    </row>
    <row r="126" spans="1:16" ht="12.75">
      <c r="A126" s="213"/>
      <c r="B126" s="214"/>
      <c r="C126" s="213"/>
      <c r="D126" s="215"/>
      <c r="E126" s="216"/>
      <c r="F126" s="216"/>
      <c r="G126" s="216"/>
      <c r="H126" s="187"/>
      <c r="I126" s="187"/>
      <c r="J126" s="216"/>
      <c r="K126" s="216"/>
      <c r="L126" s="216"/>
      <c r="M126" s="216"/>
      <c r="N126" s="216"/>
      <c r="O126" s="216"/>
      <c r="P126" s="216"/>
    </row>
    <row r="127" spans="1:16" ht="12.75">
      <c r="A127" s="213"/>
      <c r="B127" s="214"/>
      <c r="C127" s="213"/>
      <c r="D127" s="215"/>
      <c r="E127" s="216"/>
      <c r="F127" s="216"/>
      <c r="G127" s="216"/>
      <c r="H127" s="187"/>
      <c r="I127" s="187"/>
      <c r="J127" s="216"/>
      <c r="K127" s="216"/>
      <c r="L127" s="216"/>
      <c r="M127" s="216"/>
      <c r="N127" s="216"/>
      <c r="O127" s="216"/>
      <c r="P127" s="216"/>
    </row>
    <row r="128" spans="1:16" ht="12.75">
      <c r="A128" s="213"/>
      <c r="B128" s="214"/>
      <c r="C128" s="213"/>
      <c r="D128" s="215"/>
      <c r="E128" s="216"/>
      <c r="F128" s="216"/>
      <c r="G128" s="216"/>
      <c r="H128" s="187"/>
      <c r="I128" s="187"/>
      <c r="J128" s="216"/>
      <c r="K128" s="216"/>
      <c r="L128" s="216"/>
      <c r="M128" s="216"/>
      <c r="N128" s="216"/>
      <c r="O128" s="216"/>
      <c r="P128" s="216"/>
    </row>
    <row r="129" spans="1:16" ht="12.75">
      <c r="A129" s="213"/>
      <c r="B129" s="214"/>
      <c r="C129" s="213"/>
      <c r="D129" s="215"/>
      <c r="E129" s="216"/>
      <c r="F129" s="216"/>
      <c r="G129" s="216"/>
      <c r="H129" s="187"/>
      <c r="I129" s="187"/>
      <c r="J129" s="216"/>
      <c r="K129" s="216"/>
      <c r="L129" s="216"/>
      <c r="M129" s="216"/>
      <c r="N129" s="216"/>
      <c r="O129" s="216"/>
      <c r="P129" s="216"/>
    </row>
    <row r="130" spans="1:16" ht="12.75">
      <c r="A130" s="213"/>
      <c r="B130" s="214"/>
      <c r="C130" s="213"/>
      <c r="D130" s="215"/>
      <c r="E130" s="216"/>
      <c r="F130" s="216"/>
      <c r="G130" s="216"/>
      <c r="H130" s="187"/>
      <c r="I130" s="187"/>
      <c r="J130" s="216"/>
      <c r="K130" s="216"/>
      <c r="L130" s="216"/>
      <c r="M130" s="216"/>
      <c r="N130" s="216"/>
      <c r="O130" s="216"/>
      <c r="P130" s="216"/>
    </row>
    <row r="131" spans="1:16" ht="12.75">
      <c r="A131" s="213"/>
      <c r="B131" s="214"/>
      <c r="C131" s="213"/>
      <c r="D131" s="215"/>
      <c r="E131" s="216"/>
      <c r="F131" s="216"/>
      <c r="G131" s="216"/>
      <c r="H131" s="187"/>
      <c r="I131" s="187"/>
      <c r="J131" s="216"/>
      <c r="K131" s="216"/>
      <c r="L131" s="216"/>
      <c r="M131" s="216"/>
      <c r="N131" s="216"/>
      <c r="O131" s="216"/>
      <c r="P131" s="216"/>
    </row>
    <row r="132" spans="1:16" ht="12.75">
      <c r="A132" s="213"/>
      <c r="B132" s="214"/>
      <c r="C132" s="213"/>
      <c r="D132" s="215"/>
      <c r="E132" s="216"/>
      <c r="F132" s="216"/>
      <c r="G132" s="216"/>
      <c r="H132" s="187"/>
      <c r="I132" s="187"/>
      <c r="J132" s="216"/>
      <c r="K132" s="216"/>
      <c r="L132" s="216"/>
      <c r="M132" s="216"/>
      <c r="N132" s="216"/>
      <c r="O132" s="216"/>
      <c r="P132" s="216"/>
    </row>
    <row r="133" spans="1:16" ht="12.75">
      <c r="A133" s="213"/>
      <c r="B133" s="214"/>
      <c r="C133" s="213"/>
      <c r="D133" s="215"/>
      <c r="E133" s="216"/>
      <c r="F133" s="216"/>
      <c r="G133" s="216"/>
      <c r="H133" s="187"/>
      <c r="I133" s="187"/>
      <c r="J133" s="216"/>
      <c r="K133" s="216"/>
      <c r="L133" s="216"/>
      <c r="M133" s="216"/>
      <c r="N133" s="216"/>
      <c r="O133" s="216"/>
      <c r="P133" s="216"/>
    </row>
    <row r="134" spans="1:16" ht="12.75">
      <c r="A134" s="213"/>
      <c r="B134" s="214"/>
      <c r="C134" s="213"/>
      <c r="D134" s="215"/>
      <c r="E134" s="216"/>
      <c r="F134" s="216"/>
      <c r="G134" s="216"/>
      <c r="H134" s="187"/>
      <c r="I134" s="187"/>
      <c r="J134" s="216"/>
      <c r="K134" s="216"/>
      <c r="L134" s="216"/>
      <c r="M134" s="216"/>
      <c r="N134" s="216"/>
      <c r="O134" s="216"/>
      <c r="P134" s="216"/>
    </row>
    <row r="135" spans="1:16" ht="12.75">
      <c r="A135" s="213"/>
      <c r="B135" s="214"/>
      <c r="C135" s="213"/>
      <c r="D135" s="215"/>
      <c r="E135" s="216"/>
      <c r="F135" s="216"/>
      <c r="G135" s="216"/>
      <c r="H135" s="187"/>
      <c r="I135" s="187"/>
      <c r="J135" s="216"/>
      <c r="K135" s="216"/>
      <c r="L135" s="216"/>
      <c r="M135" s="216"/>
      <c r="N135" s="216"/>
      <c r="O135" s="216"/>
      <c r="P135" s="216"/>
    </row>
    <row r="136" spans="1:16" ht="12.75">
      <c r="A136" s="213"/>
      <c r="B136" s="214"/>
      <c r="C136" s="213"/>
      <c r="D136" s="215"/>
      <c r="E136" s="216"/>
      <c r="F136" s="216"/>
      <c r="G136" s="216"/>
      <c r="H136" s="187"/>
      <c r="I136" s="187"/>
      <c r="J136" s="216"/>
      <c r="K136" s="216"/>
      <c r="L136" s="216"/>
      <c r="M136" s="216"/>
      <c r="N136" s="216"/>
      <c r="O136" s="216"/>
      <c r="P136" s="216"/>
    </row>
    <row r="137" spans="1:16" ht="12.75">
      <c r="A137" s="213"/>
      <c r="B137" s="214"/>
      <c r="C137" s="213"/>
      <c r="D137" s="215"/>
      <c r="E137" s="216"/>
      <c r="F137" s="216"/>
      <c r="G137" s="216"/>
      <c r="H137" s="187"/>
      <c r="I137" s="187"/>
      <c r="J137" s="216"/>
      <c r="K137" s="216"/>
      <c r="L137" s="216"/>
      <c r="M137" s="216"/>
      <c r="N137" s="216"/>
      <c r="O137" s="216"/>
      <c r="P137" s="216"/>
    </row>
    <row r="138" spans="1:16" ht="12.75">
      <c r="A138" s="213"/>
      <c r="B138" s="214"/>
      <c r="C138" s="213"/>
      <c r="D138" s="215"/>
      <c r="E138" s="216"/>
      <c r="F138" s="216"/>
      <c r="G138" s="216"/>
      <c r="H138" s="187"/>
      <c r="I138" s="187"/>
      <c r="J138" s="216"/>
      <c r="K138" s="216"/>
      <c r="L138" s="216"/>
      <c r="M138" s="216"/>
      <c r="N138" s="216"/>
      <c r="O138" s="216"/>
      <c r="P138" s="216"/>
    </row>
    <row r="139" spans="1:16" ht="12.75">
      <c r="A139" s="213"/>
      <c r="B139" s="214"/>
      <c r="C139" s="213"/>
      <c r="D139" s="215"/>
      <c r="E139" s="216"/>
      <c r="F139" s="216"/>
      <c r="G139" s="216"/>
      <c r="H139" s="187"/>
      <c r="I139" s="187"/>
      <c r="J139" s="216"/>
      <c r="K139" s="216"/>
      <c r="L139" s="216"/>
      <c r="M139" s="216"/>
      <c r="N139" s="216"/>
      <c r="O139" s="216"/>
      <c r="P139" s="216"/>
    </row>
    <row r="140" spans="1:16" ht="12.75">
      <c r="A140" s="213"/>
      <c r="B140" s="214"/>
      <c r="C140" s="213"/>
      <c r="D140" s="215"/>
      <c r="E140" s="216"/>
      <c r="F140" s="216"/>
      <c r="G140" s="216"/>
      <c r="H140" s="187"/>
      <c r="I140" s="187"/>
      <c r="J140" s="216"/>
      <c r="K140" s="216"/>
      <c r="L140" s="216"/>
      <c r="M140" s="216"/>
      <c r="N140" s="216"/>
      <c r="O140" s="216"/>
      <c r="P140" s="216"/>
    </row>
    <row r="141" spans="1:16" ht="12.75">
      <c r="A141" s="213"/>
      <c r="B141" s="214"/>
      <c r="C141" s="213"/>
      <c r="D141" s="215"/>
      <c r="E141" s="216"/>
      <c r="F141" s="216"/>
      <c r="G141" s="216"/>
      <c r="H141" s="187"/>
      <c r="I141" s="187"/>
      <c r="J141" s="216"/>
      <c r="K141" s="216"/>
      <c r="L141" s="216"/>
      <c r="M141" s="216"/>
      <c r="N141" s="216"/>
      <c r="O141" s="216"/>
      <c r="P141" s="216"/>
    </row>
    <row r="142" spans="1:16" ht="12.75">
      <c r="A142" s="213"/>
      <c r="B142" s="214"/>
      <c r="C142" s="213"/>
      <c r="D142" s="215"/>
      <c r="E142" s="216"/>
      <c r="F142" s="216"/>
      <c r="G142" s="216"/>
      <c r="H142" s="187"/>
      <c r="I142" s="187"/>
      <c r="J142" s="216"/>
      <c r="K142" s="216"/>
      <c r="L142" s="216"/>
      <c r="M142" s="216"/>
      <c r="N142" s="216"/>
      <c r="O142" s="216"/>
      <c r="P142" s="216"/>
    </row>
    <row r="143" spans="1:16" ht="12.75">
      <c r="A143" s="213"/>
      <c r="B143" s="214"/>
      <c r="C143" s="213"/>
      <c r="D143" s="215"/>
      <c r="E143" s="216"/>
      <c r="F143" s="216"/>
      <c r="G143" s="216"/>
      <c r="H143" s="187"/>
      <c r="I143" s="187"/>
      <c r="J143" s="216"/>
      <c r="K143" s="216"/>
      <c r="L143" s="216"/>
      <c r="M143" s="216"/>
      <c r="N143" s="216"/>
      <c r="O143" s="216"/>
      <c r="P143" s="216"/>
    </row>
    <row r="144" spans="1:16" ht="12.75">
      <c r="A144" s="213"/>
      <c r="B144" s="214"/>
      <c r="C144" s="213"/>
      <c r="D144" s="215"/>
      <c r="E144" s="216"/>
      <c r="F144" s="216"/>
      <c r="G144" s="216"/>
      <c r="H144" s="187"/>
      <c r="I144" s="187"/>
      <c r="J144" s="216"/>
      <c r="K144" s="216"/>
      <c r="L144" s="216"/>
      <c r="M144" s="216"/>
      <c r="N144" s="216"/>
      <c r="O144" s="216"/>
      <c r="P144" s="216"/>
    </row>
    <row r="145" spans="1:16" ht="12.75">
      <c r="A145" s="213"/>
      <c r="B145" s="214"/>
      <c r="C145" s="213"/>
      <c r="D145" s="215"/>
      <c r="E145" s="216"/>
      <c r="F145" s="216"/>
      <c r="G145" s="216"/>
      <c r="H145" s="187"/>
      <c r="I145" s="187"/>
      <c r="J145" s="216"/>
      <c r="K145" s="216"/>
      <c r="L145" s="216"/>
      <c r="M145" s="216"/>
      <c r="N145" s="216"/>
      <c r="O145" s="216"/>
      <c r="P145" s="216"/>
    </row>
    <row r="146" spans="1:16" ht="12.75">
      <c r="A146" s="213"/>
      <c r="B146" s="214"/>
      <c r="C146" s="213"/>
      <c r="D146" s="215"/>
      <c r="E146" s="216"/>
      <c r="F146" s="216"/>
      <c r="G146" s="216"/>
      <c r="H146" s="187"/>
      <c r="I146" s="187"/>
      <c r="J146" s="216"/>
      <c r="K146" s="216"/>
      <c r="L146" s="216"/>
      <c r="M146" s="216"/>
      <c r="N146" s="216"/>
      <c r="O146" s="216"/>
      <c r="P146" s="216"/>
    </row>
    <row r="147" spans="1:16" ht="12.75">
      <c r="A147" s="213"/>
      <c r="B147" s="214"/>
      <c r="C147" s="213"/>
      <c r="D147" s="215"/>
      <c r="E147" s="216"/>
      <c r="F147" s="216"/>
      <c r="G147" s="216"/>
      <c r="H147" s="187"/>
      <c r="I147" s="187"/>
      <c r="J147" s="216"/>
      <c r="K147" s="216"/>
      <c r="L147" s="216"/>
      <c r="M147" s="216"/>
      <c r="N147" s="216"/>
      <c r="O147" s="216"/>
      <c r="P147" s="216"/>
    </row>
    <row r="148" spans="1:16" ht="12.75">
      <c r="A148" s="213"/>
      <c r="B148" s="214"/>
      <c r="C148" s="213"/>
      <c r="D148" s="215"/>
      <c r="E148" s="216"/>
      <c r="F148" s="216"/>
      <c r="G148" s="216"/>
      <c r="H148" s="187"/>
      <c r="I148" s="187"/>
      <c r="J148" s="216"/>
      <c r="K148" s="216"/>
      <c r="L148" s="216"/>
      <c r="M148" s="216"/>
      <c r="N148" s="216"/>
      <c r="O148" s="216"/>
      <c r="P148" s="216"/>
    </row>
    <row r="149" spans="1:16" ht="12.75">
      <c r="A149" s="213"/>
      <c r="B149" s="214"/>
      <c r="C149" s="213"/>
      <c r="D149" s="215"/>
      <c r="E149" s="216"/>
      <c r="F149" s="216"/>
      <c r="G149" s="216"/>
      <c r="H149" s="187"/>
      <c r="I149" s="187"/>
      <c r="J149" s="216"/>
      <c r="K149" s="216"/>
      <c r="L149" s="216"/>
      <c r="M149" s="216"/>
      <c r="N149" s="216"/>
      <c r="O149" s="216"/>
      <c r="P149" s="216"/>
    </row>
    <row r="150" spans="1:16" ht="12.75">
      <c r="A150" s="213"/>
      <c r="B150" s="214"/>
      <c r="C150" s="213"/>
      <c r="D150" s="215"/>
      <c r="E150" s="216"/>
      <c r="F150" s="216"/>
      <c r="G150" s="216"/>
      <c r="H150" s="187"/>
      <c r="I150" s="187"/>
      <c r="J150" s="216"/>
      <c r="K150" s="216"/>
      <c r="L150" s="216"/>
      <c r="M150" s="216"/>
      <c r="N150" s="216"/>
      <c r="O150" s="216"/>
      <c r="P150" s="216"/>
    </row>
    <row r="151" spans="1:16" ht="12.75">
      <c r="A151" s="213"/>
      <c r="B151" s="214"/>
      <c r="C151" s="213"/>
      <c r="D151" s="215"/>
      <c r="E151" s="216"/>
      <c r="F151" s="216"/>
      <c r="G151" s="216"/>
      <c r="H151" s="187"/>
      <c r="I151" s="187"/>
      <c r="J151" s="216"/>
      <c r="K151" s="216"/>
      <c r="L151" s="216"/>
      <c r="M151" s="216"/>
      <c r="N151" s="216"/>
      <c r="O151" s="216"/>
      <c r="P151" s="216"/>
    </row>
    <row r="152" spans="1:16" ht="12.75">
      <c r="A152" s="213"/>
      <c r="B152" s="214"/>
      <c r="C152" s="213"/>
      <c r="D152" s="215"/>
      <c r="E152" s="216"/>
      <c r="F152" s="216"/>
      <c r="G152" s="216"/>
      <c r="H152" s="187"/>
      <c r="I152" s="187"/>
      <c r="J152" s="216"/>
      <c r="K152" s="216"/>
      <c r="L152" s="216"/>
      <c r="M152" s="216"/>
      <c r="N152" s="216"/>
      <c r="O152" s="216"/>
      <c r="P152" s="216"/>
    </row>
  </sheetData>
  <sheetProtection selectLockedCells="1" selectUnlockedCells="1"/>
  <mergeCells count="19">
    <mergeCell ref="A7:B7"/>
    <mergeCell ref="I25:J25"/>
    <mergeCell ref="L10:P10"/>
    <mergeCell ref="C17:K17"/>
    <mergeCell ref="C18:K18"/>
    <mergeCell ref="A22:B22"/>
    <mergeCell ref="I22:J22"/>
    <mergeCell ref="C23:G23"/>
    <mergeCell ref="K23:P23"/>
    <mergeCell ref="A1:P1"/>
    <mergeCell ref="A2:P2"/>
    <mergeCell ref="M8:N8"/>
    <mergeCell ref="O8:P8"/>
    <mergeCell ref="A10:A11"/>
    <mergeCell ref="B10:B11"/>
    <mergeCell ref="C10:C11"/>
    <mergeCell ref="D10:D11"/>
    <mergeCell ref="E10:E11"/>
    <mergeCell ref="F10:K10"/>
  </mergeCells>
  <printOptions horizontalCentered="1"/>
  <pageMargins left="0.4597222222222222" right="0.4201388888888889" top="0.7875" bottom="0.5902777777777778" header="0.5118055555555555" footer="0.19652777777777777"/>
  <pageSetup firstPageNumber="1" useFirstPageNumber="1" horizontalDpi="300" verticalDpi="300" orientation="landscape" paperSize="9" scale="61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161"/>
  <sheetViews>
    <sheetView showZeros="0" view="pageBreakPreview" zoomScale="70" zoomScaleNormal="55" zoomScaleSheetLayoutView="70" zoomScalePageLayoutView="0" workbookViewId="0" topLeftCell="A10">
      <selection activeCell="A7" sqref="A7:IV7"/>
    </sheetView>
  </sheetViews>
  <sheetFormatPr defaultColWidth="37" defaultRowHeight="15.75"/>
  <cols>
    <col min="1" max="1" width="6.3984375" style="190" customWidth="1"/>
    <col min="2" max="2" width="8.09765625" style="236" customWidth="1"/>
    <col min="3" max="3" width="29.59765625" style="207" customWidth="1"/>
    <col min="4" max="4" width="6.19921875" style="189" customWidth="1"/>
    <col min="5" max="5" width="9.19921875" style="190" customWidth="1"/>
    <col min="6" max="6" width="6" style="207" customWidth="1"/>
    <col min="7" max="7" width="8.3984375" style="207" customWidth="1"/>
    <col min="8" max="8" width="7.3984375" style="212" customWidth="1"/>
    <col min="9" max="9" width="9.09765625" style="212" customWidth="1"/>
    <col min="10" max="10" width="6.59765625" style="207" customWidth="1"/>
    <col min="11" max="12" width="11" style="207" customWidth="1"/>
    <col min="13" max="13" width="11.59765625" style="207" customWidth="1"/>
    <col min="14" max="14" width="12" style="207" customWidth="1"/>
    <col min="15" max="15" width="11.3984375" style="207" customWidth="1"/>
    <col min="16" max="16" width="11.796875" style="207" customWidth="1"/>
    <col min="17" max="33" width="11.296875" style="207" customWidth="1"/>
    <col min="34" max="16384" width="37" style="207" customWidth="1"/>
  </cols>
  <sheetData>
    <row r="1" spans="1:16" s="187" customFormat="1" ht="19.5" customHeight="1">
      <c r="A1" s="425" t="s">
        <v>390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</row>
    <row r="2" spans="1:16" s="187" customFormat="1" ht="19.5" customHeight="1">
      <c r="A2" s="426" t="s">
        <v>391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</row>
    <row r="3" spans="1:16" s="187" customFormat="1" ht="19.5" customHeight="1">
      <c r="A3" s="53" t="str">
        <f>'1-3 (1)'!A3</f>
        <v>Būves nosaukums:     Tautas nama "Kalngravas" rekonstrukcija- 2. kārta </v>
      </c>
      <c r="B3" s="188"/>
      <c r="C3" s="189"/>
      <c r="D3" s="190"/>
      <c r="E3" s="190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6" s="187" customFormat="1" ht="19.5" customHeight="1">
      <c r="A4" s="53" t="str">
        <f>'1-3 (1)'!A4</f>
        <v>Objekta nosaukums:  Tautas nama "Kalngravas" rekonstrukcija</v>
      </c>
      <c r="B4" s="188"/>
      <c r="C4" s="189"/>
      <c r="D4" s="190"/>
      <c r="E4" s="190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</row>
    <row r="5" spans="1:16" s="187" customFormat="1" ht="19.5" customHeight="1">
      <c r="A5" s="53" t="str">
        <f>'1-3 (1)'!A5</f>
        <v>Būves adrese:  Kalngravas 1, Sarkaņu pagasts, Madonas novads</v>
      </c>
      <c r="B5" s="188"/>
      <c r="C5" s="189"/>
      <c r="D5" s="190"/>
      <c r="E5" s="190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</row>
    <row r="6" spans="1:16" s="187" customFormat="1" ht="19.5" customHeight="1">
      <c r="A6" s="53" t="str">
        <f>'1-3 (1)'!A6</f>
        <v>Pasūtījuma Nr.: </v>
      </c>
      <c r="B6" s="188"/>
      <c r="C6" s="192" t="s">
        <v>845</v>
      </c>
      <c r="D6" s="190"/>
      <c r="E6" s="190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</row>
    <row r="7" spans="1:8" s="4" customFormat="1" ht="25.5" customHeight="1">
      <c r="A7" s="391" t="s">
        <v>852</v>
      </c>
      <c r="B7" s="391"/>
      <c r="C7" s="386"/>
      <c r="D7" s="386"/>
      <c r="E7" s="386"/>
      <c r="F7" s="386"/>
      <c r="G7" s="386"/>
      <c r="H7" s="386"/>
    </row>
    <row r="8" spans="1:16" s="187" customFormat="1" ht="19.5" customHeight="1">
      <c r="A8" s="53" t="s">
        <v>392</v>
      </c>
      <c r="B8" s="188"/>
      <c r="C8" s="192"/>
      <c r="D8" s="190"/>
      <c r="E8" s="190"/>
      <c r="F8" s="191"/>
      <c r="G8" s="191"/>
      <c r="H8" s="191"/>
      <c r="I8" s="191"/>
      <c r="J8" s="191"/>
      <c r="K8" s="191"/>
      <c r="L8" s="191"/>
      <c r="M8" s="427" t="s">
        <v>47</v>
      </c>
      <c r="N8" s="427"/>
      <c r="O8" s="428">
        <f>P26</f>
        <v>0</v>
      </c>
      <c r="P8" s="428"/>
    </row>
    <row r="9" spans="1:16" ht="15" customHeight="1">
      <c r="A9" s="229"/>
      <c r="B9" s="229"/>
      <c r="C9" s="189"/>
      <c r="D9" s="190"/>
      <c r="E9" s="230"/>
      <c r="F9" s="191"/>
      <c r="G9" s="191"/>
      <c r="H9" s="191"/>
      <c r="I9" s="191"/>
      <c r="J9" s="191"/>
      <c r="K9" s="230"/>
      <c r="L9" s="191"/>
      <c r="M9" s="191"/>
      <c r="N9" s="191"/>
      <c r="O9" s="191"/>
      <c r="P9" s="191"/>
    </row>
    <row r="10" spans="1:16" s="187" customFormat="1" ht="19.5" customHeight="1">
      <c r="A10" s="429" t="s">
        <v>4</v>
      </c>
      <c r="B10" s="429" t="s">
        <v>48</v>
      </c>
      <c r="C10" s="430" t="s">
        <v>49</v>
      </c>
      <c r="D10" s="429" t="s">
        <v>50</v>
      </c>
      <c r="E10" s="429" t="s">
        <v>51</v>
      </c>
      <c r="F10" s="431" t="s">
        <v>52</v>
      </c>
      <c r="G10" s="431"/>
      <c r="H10" s="431"/>
      <c r="I10" s="431"/>
      <c r="J10" s="431"/>
      <c r="K10" s="431"/>
      <c r="L10" s="431" t="s">
        <v>53</v>
      </c>
      <c r="M10" s="431"/>
      <c r="N10" s="431"/>
      <c r="O10" s="431"/>
      <c r="P10" s="431"/>
    </row>
    <row r="11" spans="1:16" s="187" customFormat="1" ht="99.75" customHeight="1">
      <c r="A11" s="429"/>
      <c r="B11" s="429"/>
      <c r="C11" s="430"/>
      <c r="D11" s="429"/>
      <c r="E11" s="429"/>
      <c r="F11" s="26" t="s">
        <v>54</v>
      </c>
      <c r="G11" s="26" t="s">
        <v>55</v>
      </c>
      <c r="H11" s="26" t="s">
        <v>56</v>
      </c>
      <c r="I11" s="26" t="s">
        <v>57</v>
      </c>
      <c r="J11" s="26" t="s">
        <v>58</v>
      </c>
      <c r="K11" s="26" t="s">
        <v>59</v>
      </c>
      <c r="L11" s="26" t="s">
        <v>60</v>
      </c>
      <c r="M11" s="26" t="s">
        <v>56</v>
      </c>
      <c r="N11" s="26" t="s">
        <v>57</v>
      </c>
      <c r="O11" s="26" t="s">
        <v>58</v>
      </c>
      <c r="P11" s="26" t="s">
        <v>61</v>
      </c>
    </row>
    <row r="12" spans="1:16" ht="55.5" customHeight="1">
      <c r="A12" s="198">
        <v>1</v>
      </c>
      <c r="B12" s="200" t="s">
        <v>393</v>
      </c>
      <c r="C12" s="63" t="s">
        <v>394</v>
      </c>
      <c r="D12" s="202" t="s">
        <v>369</v>
      </c>
      <c r="E12" s="231">
        <v>266</v>
      </c>
      <c r="F12" s="204"/>
      <c r="G12" s="205"/>
      <c r="H12" s="232"/>
      <c r="I12" s="205"/>
      <c r="J12" s="205"/>
      <c r="K12" s="205"/>
      <c r="L12" s="205"/>
      <c r="M12" s="205"/>
      <c r="N12" s="205"/>
      <c r="O12" s="205"/>
      <c r="P12" s="205"/>
    </row>
    <row r="13" spans="1:16" ht="40.5" customHeight="1">
      <c r="A13" s="198">
        <v>2</v>
      </c>
      <c r="B13" s="200" t="s">
        <v>395</v>
      </c>
      <c r="C13" s="233" t="s">
        <v>396</v>
      </c>
      <c r="D13" s="202" t="s">
        <v>369</v>
      </c>
      <c r="E13" s="203">
        <v>266</v>
      </c>
      <c r="F13" s="204"/>
      <c r="G13" s="205"/>
      <c r="H13" s="205"/>
      <c r="I13" s="205"/>
      <c r="J13" s="205"/>
      <c r="K13" s="205"/>
      <c r="L13" s="205"/>
      <c r="M13" s="205"/>
      <c r="N13" s="205"/>
      <c r="O13" s="205"/>
      <c r="P13" s="205"/>
    </row>
    <row r="14" spans="1:16" ht="40.5" customHeight="1">
      <c r="A14" s="198">
        <v>3</v>
      </c>
      <c r="B14" s="200" t="s">
        <v>397</v>
      </c>
      <c r="C14" s="233" t="s">
        <v>398</v>
      </c>
      <c r="D14" s="202" t="s">
        <v>369</v>
      </c>
      <c r="E14" s="203">
        <v>28</v>
      </c>
      <c r="F14" s="204"/>
      <c r="G14" s="205"/>
      <c r="H14" s="205"/>
      <c r="I14" s="205"/>
      <c r="J14" s="205"/>
      <c r="K14" s="205"/>
      <c r="L14" s="205"/>
      <c r="M14" s="205"/>
      <c r="N14" s="205"/>
      <c r="O14" s="205"/>
      <c r="P14" s="205"/>
    </row>
    <row r="15" spans="1:16" ht="40.5" customHeight="1">
      <c r="A15" s="198">
        <v>4</v>
      </c>
      <c r="B15" s="200" t="s">
        <v>399</v>
      </c>
      <c r="C15" s="233" t="s">
        <v>400</v>
      </c>
      <c r="D15" s="202" t="s">
        <v>369</v>
      </c>
      <c r="E15" s="203">
        <f>238</f>
        <v>238</v>
      </c>
      <c r="F15" s="204"/>
      <c r="G15" s="205"/>
      <c r="H15" s="205"/>
      <c r="I15" s="205"/>
      <c r="J15" s="205"/>
      <c r="K15" s="205"/>
      <c r="L15" s="205"/>
      <c r="M15" s="205"/>
      <c r="N15" s="205"/>
      <c r="O15" s="205"/>
      <c r="P15" s="205"/>
    </row>
    <row r="16" spans="1:16" ht="40.5" customHeight="1">
      <c r="A16" s="198">
        <v>5</v>
      </c>
      <c r="B16" s="200" t="s">
        <v>401</v>
      </c>
      <c r="C16" s="233" t="s">
        <v>402</v>
      </c>
      <c r="D16" s="202" t="s">
        <v>369</v>
      </c>
      <c r="E16" s="203">
        <v>28</v>
      </c>
      <c r="F16" s="204"/>
      <c r="G16" s="205"/>
      <c r="H16" s="205"/>
      <c r="I16" s="205"/>
      <c r="J16" s="205"/>
      <c r="K16" s="205"/>
      <c r="L16" s="205"/>
      <c r="M16" s="205"/>
      <c r="N16" s="205"/>
      <c r="O16" s="205"/>
      <c r="P16" s="205"/>
    </row>
    <row r="17" spans="1:16" ht="40.5" customHeight="1">
      <c r="A17" s="198">
        <v>6</v>
      </c>
      <c r="B17" s="200" t="s">
        <v>403</v>
      </c>
      <c r="C17" s="233" t="s">
        <v>404</v>
      </c>
      <c r="D17" s="202" t="s">
        <v>369</v>
      </c>
      <c r="E17" s="203">
        <f>238</f>
        <v>238</v>
      </c>
      <c r="F17" s="204"/>
      <c r="G17" s="205"/>
      <c r="H17" s="205"/>
      <c r="I17" s="205"/>
      <c r="J17" s="205"/>
      <c r="K17" s="205"/>
      <c r="L17" s="205"/>
      <c r="M17" s="205"/>
      <c r="N17" s="205"/>
      <c r="O17" s="205"/>
      <c r="P17" s="205"/>
    </row>
    <row r="18" spans="1:16" ht="40.5" customHeight="1">
      <c r="A18" s="198">
        <v>7</v>
      </c>
      <c r="B18" s="200" t="s">
        <v>405</v>
      </c>
      <c r="C18" s="233" t="s">
        <v>406</v>
      </c>
      <c r="D18" s="202" t="s">
        <v>369</v>
      </c>
      <c r="E18" s="203">
        <v>2.2</v>
      </c>
      <c r="F18" s="66"/>
      <c r="G18" s="205"/>
      <c r="H18" s="67"/>
      <c r="I18" s="67"/>
      <c r="J18" s="67"/>
      <c r="K18" s="67"/>
      <c r="L18" s="67"/>
      <c r="M18" s="67"/>
      <c r="N18" s="67"/>
      <c r="O18" s="67"/>
      <c r="P18" s="67"/>
    </row>
    <row r="19" spans="1:16" ht="40.5" customHeight="1">
      <c r="A19" s="198">
        <v>8</v>
      </c>
      <c r="B19" s="200" t="s">
        <v>407</v>
      </c>
      <c r="C19" s="63" t="s">
        <v>408</v>
      </c>
      <c r="D19" s="64" t="s">
        <v>369</v>
      </c>
      <c r="E19" s="65">
        <v>11</v>
      </c>
      <c r="F19" s="66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1:16" ht="40.5" customHeight="1">
      <c r="A20" s="198">
        <v>9</v>
      </c>
      <c r="B20" s="200" t="s">
        <v>409</v>
      </c>
      <c r="C20" s="63" t="s">
        <v>410</v>
      </c>
      <c r="D20" s="64" t="s">
        <v>369</v>
      </c>
      <c r="E20" s="65">
        <v>12</v>
      </c>
      <c r="F20" s="66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1:16" ht="40.5" customHeight="1">
      <c r="A21" s="198">
        <v>10</v>
      </c>
      <c r="B21" s="200"/>
      <c r="C21" s="199" t="s">
        <v>387</v>
      </c>
      <c r="D21" s="202"/>
      <c r="E21" s="208"/>
      <c r="F21" s="204"/>
      <c r="G21" s="205"/>
      <c r="H21" s="205"/>
      <c r="I21" s="206"/>
      <c r="J21" s="205"/>
      <c r="K21" s="205"/>
      <c r="L21" s="205"/>
      <c r="M21" s="205"/>
      <c r="N21" s="205"/>
      <c r="O21" s="205"/>
      <c r="P21" s="205"/>
    </row>
    <row r="22" spans="1:16" ht="40.5" customHeight="1">
      <c r="A22" s="198">
        <v>11</v>
      </c>
      <c r="B22" s="200" t="s">
        <v>388</v>
      </c>
      <c r="C22" s="201" t="s">
        <v>389</v>
      </c>
      <c r="D22" s="64" t="s">
        <v>377</v>
      </c>
      <c r="E22" s="203">
        <v>0.825</v>
      </c>
      <c r="F22" s="66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1:16" ht="55.5" customHeight="1">
      <c r="A23" s="198">
        <v>12</v>
      </c>
      <c r="B23" s="200" t="s">
        <v>411</v>
      </c>
      <c r="C23" s="63" t="s">
        <v>412</v>
      </c>
      <c r="D23" s="64" t="s">
        <v>369</v>
      </c>
      <c r="E23" s="65">
        <v>50</v>
      </c>
      <c r="F23" s="66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1:17" ht="30" customHeight="1">
      <c r="A24" s="209"/>
      <c r="B24" s="209"/>
      <c r="C24" s="28" t="s">
        <v>7</v>
      </c>
      <c r="D24" s="209"/>
      <c r="E24" s="28"/>
      <c r="F24" s="28"/>
      <c r="G24" s="28"/>
      <c r="H24" s="28"/>
      <c r="I24" s="28"/>
      <c r="J24" s="28"/>
      <c r="K24" s="28"/>
      <c r="L24" s="29"/>
      <c r="M24" s="29"/>
      <c r="N24" s="29"/>
      <c r="O24" s="29"/>
      <c r="P24" s="29"/>
      <c r="Q24" s="210"/>
    </row>
    <row r="25" spans="1:16" ht="30" customHeight="1">
      <c r="A25" s="211"/>
      <c r="B25" s="211"/>
      <c r="C25" s="418" t="s">
        <v>849</v>
      </c>
      <c r="D25" s="418"/>
      <c r="E25" s="418"/>
      <c r="F25" s="418"/>
      <c r="G25" s="418"/>
      <c r="H25" s="418"/>
      <c r="I25" s="418"/>
      <c r="J25" s="418"/>
      <c r="K25" s="418"/>
      <c r="L25" s="30"/>
      <c r="M25" s="30"/>
      <c r="N25" s="30"/>
      <c r="O25" s="30"/>
      <c r="P25" s="31"/>
    </row>
    <row r="26" spans="1:17" ht="30" customHeight="1">
      <c r="A26" s="211"/>
      <c r="B26" s="211"/>
      <c r="C26" s="433" t="s">
        <v>71</v>
      </c>
      <c r="D26" s="433"/>
      <c r="E26" s="433"/>
      <c r="F26" s="433"/>
      <c r="G26" s="433"/>
      <c r="H26" s="433"/>
      <c r="I26" s="433"/>
      <c r="J26" s="433"/>
      <c r="K26" s="433"/>
      <c r="L26" s="30"/>
      <c r="M26" s="30"/>
      <c r="N26" s="30"/>
      <c r="O26" s="30"/>
      <c r="P26" s="31"/>
      <c r="Q26" s="212"/>
    </row>
    <row r="27" spans="1:16" ht="15">
      <c r="A27" s="234"/>
      <c r="B27" s="235"/>
      <c r="C27" s="234"/>
      <c r="D27" s="222"/>
      <c r="E27" s="223"/>
      <c r="F27" s="223"/>
      <c r="G27" s="223"/>
      <c r="H27" s="207"/>
      <c r="I27" s="207"/>
      <c r="J27" s="223"/>
      <c r="K27" s="223"/>
      <c r="L27" s="223"/>
      <c r="M27" s="223"/>
      <c r="N27" s="223"/>
      <c r="O27" s="223"/>
      <c r="P27" s="223"/>
    </row>
    <row r="28" spans="1:16" ht="15">
      <c r="A28" s="234"/>
      <c r="B28" s="235"/>
      <c r="C28" s="234"/>
      <c r="D28" s="222"/>
      <c r="E28" s="223"/>
      <c r="F28" s="223"/>
      <c r="G28" s="223"/>
      <c r="H28" s="207"/>
      <c r="I28" s="207"/>
      <c r="J28" s="223"/>
      <c r="K28" s="223"/>
      <c r="L28" s="223"/>
      <c r="M28" s="223"/>
      <c r="N28" s="223"/>
      <c r="O28" s="223"/>
      <c r="P28" s="223"/>
    </row>
    <row r="29" spans="1:16" ht="15">
      <c r="A29" s="234"/>
      <c r="B29" s="235"/>
      <c r="C29" s="234"/>
      <c r="D29" s="222"/>
      <c r="E29" s="223"/>
      <c r="F29" s="223"/>
      <c r="G29" s="223"/>
      <c r="H29" s="207"/>
      <c r="I29" s="207"/>
      <c r="J29" s="223"/>
      <c r="K29" s="223"/>
      <c r="L29" s="223"/>
      <c r="M29" s="223"/>
      <c r="N29" s="223"/>
      <c r="O29" s="223"/>
      <c r="P29" s="223"/>
    </row>
    <row r="30" spans="1:16" ht="15" customHeight="1">
      <c r="A30" s="432" t="s">
        <v>9</v>
      </c>
      <c r="B30" s="432"/>
      <c r="C30" s="218"/>
      <c r="D30" s="207"/>
      <c r="E30" s="219"/>
      <c r="F30" s="220"/>
      <c r="G30" s="220"/>
      <c r="H30" s="221"/>
      <c r="I30" s="434" t="s">
        <v>72</v>
      </c>
      <c r="J30" s="434"/>
      <c r="K30" s="220"/>
      <c r="L30" s="220"/>
      <c r="M30" s="220"/>
      <c r="N30" s="219"/>
      <c r="O30" s="220"/>
      <c r="P30" s="220"/>
    </row>
    <row r="31" spans="1:16" ht="15" customHeight="1">
      <c r="A31" s="217"/>
      <c r="B31" s="217"/>
      <c r="C31" s="435" t="s">
        <v>10</v>
      </c>
      <c r="D31" s="435"/>
      <c r="E31" s="435"/>
      <c r="F31" s="435"/>
      <c r="G31" s="435"/>
      <c r="H31" s="207"/>
      <c r="I31" s="190"/>
      <c r="J31" s="190"/>
      <c r="K31" s="436" t="s">
        <v>10</v>
      </c>
      <c r="L31" s="436"/>
      <c r="M31" s="436"/>
      <c r="N31" s="436"/>
      <c r="O31" s="436"/>
      <c r="P31" s="436"/>
    </row>
    <row r="32" spans="1:16" ht="15">
      <c r="A32" s="217"/>
      <c r="B32" s="217"/>
      <c r="C32" s="217"/>
      <c r="D32" s="222"/>
      <c r="E32" s="223"/>
      <c r="F32" s="223"/>
      <c r="G32" s="223"/>
      <c r="H32" s="207"/>
      <c r="I32" s="207"/>
      <c r="J32" s="223"/>
      <c r="K32" s="223"/>
      <c r="L32" s="223"/>
      <c r="M32" s="223"/>
      <c r="N32" s="223"/>
      <c r="O32" s="223"/>
      <c r="P32" s="223"/>
    </row>
    <row r="33" spans="1:16" ht="15" customHeight="1">
      <c r="A33" s="87"/>
      <c r="B33" s="87"/>
      <c r="C33" s="87"/>
      <c r="D33" s="224"/>
      <c r="E33" s="223"/>
      <c r="F33" s="223"/>
      <c r="G33" s="223"/>
      <c r="H33" s="207"/>
      <c r="I33" s="432" t="s">
        <v>11</v>
      </c>
      <c r="J33" s="432"/>
      <c r="K33" s="218">
        <f>'1-1 (1)'!K24</f>
        <v>0</v>
      </c>
      <c r="L33" s="87"/>
      <c r="M33" s="223"/>
      <c r="N33" s="223"/>
      <c r="O33" s="223"/>
      <c r="P33" s="223"/>
    </row>
    <row r="34" spans="1:16" ht="15">
      <c r="A34" s="234"/>
      <c r="B34" s="235"/>
      <c r="C34" s="234"/>
      <c r="D34" s="222"/>
      <c r="E34" s="223"/>
      <c r="F34" s="223"/>
      <c r="G34" s="223"/>
      <c r="H34" s="207"/>
      <c r="I34" s="207"/>
      <c r="J34" s="223"/>
      <c r="K34" s="223"/>
      <c r="L34" s="223"/>
      <c r="M34" s="223"/>
      <c r="N34" s="223"/>
      <c r="O34" s="223"/>
      <c r="P34" s="223"/>
    </row>
    <row r="35" spans="1:16" ht="15">
      <c r="A35" s="234"/>
      <c r="B35" s="235"/>
      <c r="C35" s="234"/>
      <c r="D35" s="222"/>
      <c r="E35" s="223"/>
      <c r="F35" s="223"/>
      <c r="G35" s="223"/>
      <c r="H35" s="207"/>
      <c r="I35" s="207"/>
      <c r="J35" s="223"/>
      <c r="K35" s="223"/>
      <c r="L35" s="223"/>
      <c r="M35" s="223"/>
      <c r="N35" s="223"/>
      <c r="O35" s="223"/>
      <c r="P35" s="223"/>
    </row>
    <row r="36" spans="1:16" ht="15">
      <c r="A36" s="234"/>
      <c r="B36" s="235"/>
      <c r="C36" s="234"/>
      <c r="D36" s="222"/>
      <c r="E36" s="223"/>
      <c r="F36" s="223"/>
      <c r="G36" s="223"/>
      <c r="H36" s="207"/>
      <c r="I36" s="207"/>
      <c r="J36" s="223"/>
      <c r="K36" s="223"/>
      <c r="L36" s="223"/>
      <c r="M36" s="223"/>
      <c r="N36" s="223"/>
      <c r="O36" s="223"/>
      <c r="P36" s="223"/>
    </row>
    <row r="37" spans="1:16" ht="15">
      <c r="A37" s="234"/>
      <c r="B37" s="235"/>
      <c r="C37" s="234"/>
      <c r="D37" s="222"/>
      <c r="E37" s="223"/>
      <c r="F37" s="223"/>
      <c r="G37" s="223"/>
      <c r="H37" s="207"/>
      <c r="I37" s="207"/>
      <c r="J37" s="223"/>
      <c r="K37" s="223"/>
      <c r="L37" s="223"/>
      <c r="M37" s="223"/>
      <c r="N37" s="223"/>
      <c r="O37" s="223"/>
      <c r="P37" s="223"/>
    </row>
    <row r="38" spans="1:16" ht="15">
      <c r="A38" s="234"/>
      <c r="B38" s="235"/>
      <c r="C38" s="234"/>
      <c r="D38" s="222"/>
      <c r="E38" s="223"/>
      <c r="F38" s="223"/>
      <c r="G38" s="223"/>
      <c r="H38" s="207"/>
      <c r="I38" s="207"/>
      <c r="J38" s="223"/>
      <c r="K38" s="223"/>
      <c r="L38" s="223"/>
      <c r="M38" s="223"/>
      <c r="N38" s="223"/>
      <c r="O38" s="223"/>
      <c r="P38" s="223"/>
    </row>
    <row r="39" spans="1:16" ht="15">
      <c r="A39" s="234"/>
      <c r="B39" s="235"/>
      <c r="C39" s="234"/>
      <c r="D39" s="222"/>
      <c r="E39" s="223"/>
      <c r="F39" s="223"/>
      <c r="G39" s="223"/>
      <c r="H39" s="207"/>
      <c r="I39" s="207"/>
      <c r="J39" s="223"/>
      <c r="K39" s="223"/>
      <c r="L39" s="223"/>
      <c r="M39" s="223"/>
      <c r="N39" s="223"/>
      <c r="O39" s="223"/>
      <c r="P39" s="223"/>
    </row>
    <row r="40" spans="1:16" ht="15">
      <c r="A40" s="234"/>
      <c r="B40" s="235"/>
      <c r="C40" s="234"/>
      <c r="D40" s="222"/>
      <c r="E40" s="223"/>
      <c r="F40" s="223"/>
      <c r="G40" s="223"/>
      <c r="H40" s="207"/>
      <c r="I40" s="207"/>
      <c r="J40" s="223"/>
      <c r="K40" s="223"/>
      <c r="L40" s="223"/>
      <c r="M40" s="223"/>
      <c r="N40" s="223"/>
      <c r="O40" s="223"/>
      <c r="P40" s="223"/>
    </row>
    <row r="41" spans="1:16" ht="15">
      <c r="A41" s="234"/>
      <c r="B41" s="235"/>
      <c r="C41" s="234"/>
      <c r="D41" s="222"/>
      <c r="E41" s="223"/>
      <c r="F41" s="223"/>
      <c r="G41" s="223"/>
      <c r="H41" s="207"/>
      <c r="I41" s="207"/>
      <c r="J41" s="223"/>
      <c r="K41" s="223"/>
      <c r="L41" s="223"/>
      <c r="M41" s="223"/>
      <c r="N41" s="223"/>
      <c r="O41" s="223"/>
      <c r="P41" s="223"/>
    </row>
    <row r="42" spans="1:16" ht="15">
      <c r="A42" s="234"/>
      <c r="B42" s="235"/>
      <c r="C42" s="234"/>
      <c r="D42" s="222"/>
      <c r="E42" s="223"/>
      <c r="F42" s="223"/>
      <c r="G42" s="223"/>
      <c r="H42" s="207"/>
      <c r="I42" s="207"/>
      <c r="J42" s="223"/>
      <c r="K42" s="223"/>
      <c r="L42" s="223"/>
      <c r="M42" s="223"/>
      <c r="N42" s="223"/>
      <c r="O42" s="223"/>
      <c r="P42" s="223"/>
    </row>
    <row r="43" spans="1:16" ht="15">
      <c r="A43" s="234"/>
      <c r="B43" s="235"/>
      <c r="C43" s="234"/>
      <c r="D43" s="222"/>
      <c r="E43" s="223"/>
      <c r="F43" s="223"/>
      <c r="G43" s="223"/>
      <c r="H43" s="207"/>
      <c r="I43" s="207"/>
      <c r="J43" s="223"/>
      <c r="K43" s="223"/>
      <c r="L43" s="223"/>
      <c r="M43" s="223"/>
      <c r="N43" s="223"/>
      <c r="O43" s="223"/>
      <c r="P43" s="223"/>
    </row>
    <row r="44" spans="1:16" ht="15">
      <c r="A44" s="234"/>
      <c r="B44" s="235"/>
      <c r="C44" s="234"/>
      <c r="D44" s="222"/>
      <c r="E44" s="223"/>
      <c r="F44" s="223"/>
      <c r="G44" s="223"/>
      <c r="H44" s="207"/>
      <c r="I44" s="207"/>
      <c r="J44" s="223"/>
      <c r="K44" s="223"/>
      <c r="L44" s="223"/>
      <c r="M44" s="223"/>
      <c r="N44" s="223"/>
      <c r="O44" s="223"/>
      <c r="P44" s="223"/>
    </row>
    <row r="45" spans="1:16" ht="15">
      <c r="A45" s="234"/>
      <c r="B45" s="235"/>
      <c r="C45" s="234"/>
      <c r="D45" s="222"/>
      <c r="E45" s="223"/>
      <c r="F45" s="223"/>
      <c r="G45" s="223"/>
      <c r="H45" s="207"/>
      <c r="I45" s="207"/>
      <c r="J45" s="223"/>
      <c r="K45" s="223"/>
      <c r="L45" s="223"/>
      <c r="M45" s="223"/>
      <c r="N45" s="223"/>
      <c r="O45" s="223"/>
      <c r="P45" s="223"/>
    </row>
    <row r="46" spans="1:16" ht="15">
      <c r="A46" s="234"/>
      <c r="B46" s="235"/>
      <c r="C46" s="234"/>
      <c r="D46" s="222"/>
      <c r="E46" s="223"/>
      <c r="F46" s="223"/>
      <c r="G46" s="223"/>
      <c r="H46" s="207"/>
      <c r="I46" s="207"/>
      <c r="J46" s="223"/>
      <c r="K46" s="223"/>
      <c r="L46" s="223"/>
      <c r="M46" s="223"/>
      <c r="N46" s="223"/>
      <c r="O46" s="223"/>
      <c r="P46" s="223"/>
    </row>
    <row r="47" spans="1:16" ht="15">
      <c r="A47" s="234"/>
      <c r="B47" s="235"/>
      <c r="C47" s="234"/>
      <c r="D47" s="222"/>
      <c r="E47" s="223"/>
      <c r="F47" s="223"/>
      <c r="G47" s="223"/>
      <c r="H47" s="207"/>
      <c r="I47" s="207"/>
      <c r="J47" s="223"/>
      <c r="K47" s="223"/>
      <c r="L47" s="223"/>
      <c r="M47" s="223"/>
      <c r="N47" s="223"/>
      <c r="O47" s="223"/>
      <c r="P47" s="223"/>
    </row>
    <row r="48" spans="1:16" ht="15">
      <c r="A48" s="234"/>
      <c r="B48" s="235"/>
      <c r="C48" s="234"/>
      <c r="D48" s="222"/>
      <c r="E48" s="223"/>
      <c r="F48" s="223"/>
      <c r="G48" s="223"/>
      <c r="H48" s="207"/>
      <c r="I48" s="207"/>
      <c r="J48" s="223"/>
      <c r="K48" s="223"/>
      <c r="L48" s="223"/>
      <c r="M48" s="223"/>
      <c r="N48" s="223"/>
      <c r="O48" s="223"/>
      <c r="P48" s="223"/>
    </row>
    <row r="49" spans="1:16" ht="15">
      <c r="A49" s="234"/>
      <c r="B49" s="235"/>
      <c r="C49" s="234"/>
      <c r="D49" s="222"/>
      <c r="E49" s="223"/>
      <c r="F49" s="223"/>
      <c r="G49" s="223"/>
      <c r="H49" s="207"/>
      <c r="I49" s="207"/>
      <c r="J49" s="223"/>
      <c r="K49" s="223"/>
      <c r="L49" s="223"/>
      <c r="M49" s="223"/>
      <c r="N49" s="223"/>
      <c r="O49" s="223"/>
      <c r="P49" s="223"/>
    </row>
    <row r="50" spans="1:16" ht="15">
      <c r="A50" s="234"/>
      <c r="B50" s="235"/>
      <c r="C50" s="234"/>
      <c r="D50" s="222"/>
      <c r="E50" s="223"/>
      <c r="F50" s="223"/>
      <c r="G50" s="223"/>
      <c r="H50" s="207"/>
      <c r="I50" s="207"/>
      <c r="J50" s="223"/>
      <c r="K50" s="223"/>
      <c r="L50" s="223"/>
      <c r="M50" s="223"/>
      <c r="N50" s="223"/>
      <c r="O50" s="223"/>
      <c r="P50" s="223"/>
    </row>
    <row r="51" spans="1:16" ht="15">
      <c r="A51" s="234"/>
      <c r="B51" s="235"/>
      <c r="C51" s="234"/>
      <c r="D51" s="222"/>
      <c r="E51" s="223"/>
      <c r="F51" s="223"/>
      <c r="G51" s="223"/>
      <c r="H51" s="207"/>
      <c r="I51" s="207"/>
      <c r="J51" s="223"/>
      <c r="K51" s="223"/>
      <c r="L51" s="223"/>
      <c r="M51" s="223"/>
      <c r="N51" s="223"/>
      <c r="O51" s="223"/>
      <c r="P51" s="223"/>
    </row>
    <row r="52" spans="1:16" ht="15">
      <c r="A52" s="234"/>
      <c r="B52" s="235"/>
      <c r="C52" s="234"/>
      <c r="D52" s="222"/>
      <c r="E52" s="223"/>
      <c r="F52" s="223"/>
      <c r="G52" s="223"/>
      <c r="H52" s="207"/>
      <c r="I52" s="207"/>
      <c r="J52" s="223"/>
      <c r="K52" s="223"/>
      <c r="L52" s="223"/>
      <c r="M52" s="223"/>
      <c r="N52" s="223"/>
      <c r="O52" s="223"/>
      <c r="P52" s="223"/>
    </row>
    <row r="53" spans="1:16" ht="15">
      <c r="A53" s="234"/>
      <c r="B53" s="235"/>
      <c r="C53" s="234"/>
      <c r="D53" s="222"/>
      <c r="E53" s="223"/>
      <c r="F53" s="223"/>
      <c r="G53" s="223"/>
      <c r="H53" s="207"/>
      <c r="I53" s="207"/>
      <c r="J53" s="223"/>
      <c r="K53" s="223"/>
      <c r="L53" s="223"/>
      <c r="M53" s="223"/>
      <c r="N53" s="223"/>
      <c r="O53" s="223"/>
      <c r="P53" s="223"/>
    </row>
    <row r="54" spans="1:16" ht="15">
      <c r="A54" s="234"/>
      <c r="B54" s="235"/>
      <c r="C54" s="234"/>
      <c r="D54" s="222"/>
      <c r="E54" s="223"/>
      <c r="F54" s="223"/>
      <c r="G54" s="223"/>
      <c r="H54" s="207"/>
      <c r="I54" s="207"/>
      <c r="J54" s="223"/>
      <c r="K54" s="223"/>
      <c r="L54" s="223"/>
      <c r="M54" s="223"/>
      <c r="N54" s="223"/>
      <c r="O54" s="223"/>
      <c r="P54" s="223"/>
    </row>
    <row r="55" spans="1:16" ht="15">
      <c r="A55" s="234"/>
      <c r="B55" s="235"/>
      <c r="C55" s="234"/>
      <c r="D55" s="222"/>
      <c r="E55" s="223"/>
      <c r="F55" s="223"/>
      <c r="G55" s="223"/>
      <c r="H55" s="207"/>
      <c r="I55" s="207"/>
      <c r="J55" s="223"/>
      <c r="K55" s="223"/>
      <c r="L55" s="223"/>
      <c r="M55" s="223"/>
      <c r="N55" s="223"/>
      <c r="O55" s="223"/>
      <c r="P55" s="223"/>
    </row>
    <row r="56" spans="1:16" ht="15">
      <c r="A56" s="234"/>
      <c r="B56" s="235"/>
      <c r="C56" s="234"/>
      <c r="D56" s="222"/>
      <c r="E56" s="223"/>
      <c r="F56" s="223"/>
      <c r="G56" s="223"/>
      <c r="H56" s="207"/>
      <c r="I56" s="207"/>
      <c r="J56" s="223"/>
      <c r="K56" s="223"/>
      <c r="L56" s="223"/>
      <c r="M56" s="223"/>
      <c r="N56" s="223"/>
      <c r="O56" s="223"/>
      <c r="P56" s="223"/>
    </row>
    <row r="57" spans="1:16" ht="15">
      <c r="A57" s="234"/>
      <c r="B57" s="235"/>
      <c r="C57" s="234"/>
      <c r="D57" s="222"/>
      <c r="E57" s="223"/>
      <c r="F57" s="223"/>
      <c r="G57" s="223"/>
      <c r="H57" s="207"/>
      <c r="I57" s="207"/>
      <c r="J57" s="223"/>
      <c r="K57" s="223"/>
      <c r="L57" s="223"/>
      <c r="M57" s="223"/>
      <c r="N57" s="223"/>
      <c r="O57" s="223"/>
      <c r="P57" s="223"/>
    </row>
    <row r="58" spans="1:16" ht="15">
      <c r="A58" s="234"/>
      <c r="B58" s="235"/>
      <c r="C58" s="234"/>
      <c r="D58" s="222"/>
      <c r="E58" s="223"/>
      <c r="F58" s="223"/>
      <c r="G58" s="223"/>
      <c r="H58" s="207"/>
      <c r="I58" s="207"/>
      <c r="J58" s="223"/>
      <c r="K58" s="223"/>
      <c r="L58" s="223"/>
      <c r="M58" s="223"/>
      <c r="N58" s="223"/>
      <c r="O58" s="223"/>
      <c r="P58" s="223"/>
    </row>
    <row r="59" spans="1:16" ht="15">
      <c r="A59" s="234"/>
      <c r="B59" s="235"/>
      <c r="C59" s="234"/>
      <c r="D59" s="222"/>
      <c r="E59" s="223"/>
      <c r="F59" s="223"/>
      <c r="G59" s="223"/>
      <c r="H59" s="207"/>
      <c r="I59" s="207"/>
      <c r="J59" s="223"/>
      <c r="K59" s="223"/>
      <c r="L59" s="223"/>
      <c r="M59" s="223"/>
      <c r="N59" s="223"/>
      <c r="O59" s="223"/>
      <c r="P59" s="223"/>
    </row>
    <row r="60" spans="1:16" ht="15">
      <c r="A60" s="234"/>
      <c r="B60" s="235"/>
      <c r="C60" s="234"/>
      <c r="D60" s="222"/>
      <c r="E60" s="223"/>
      <c r="F60" s="223"/>
      <c r="G60" s="223"/>
      <c r="H60" s="207"/>
      <c r="I60" s="207"/>
      <c r="J60" s="223"/>
      <c r="K60" s="223"/>
      <c r="L60" s="223"/>
      <c r="M60" s="223"/>
      <c r="N60" s="223"/>
      <c r="O60" s="223"/>
      <c r="P60" s="223"/>
    </row>
    <row r="61" spans="1:16" ht="15">
      <c r="A61" s="234"/>
      <c r="B61" s="235"/>
      <c r="C61" s="234"/>
      <c r="D61" s="222"/>
      <c r="E61" s="223"/>
      <c r="F61" s="223"/>
      <c r="G61" s="223"/>
      <c r="H61" s="207"/>
      <c r="I61" s="207"/>
      <c r="J61" s="223"/>
      <c r="K61" s="223"/>
      <c r="L61" s="223"/>
      <c r="M61" s="223"/>
      <c r="N61" s="223"/>
      <c r="O61" s="223"/>
      <c r="P61" s="223"/>
    </row>
    <row r="62" spans="1:16" ht="15">
      <c r="A62" s="234"/>
      <c r="B62" s="235"/>
      <c r="C62" s="234"/>
      <c r="D62" s="222"/>
      <c r="E62" s="223"/>
      <c r="F62" s="223"/>
      <c r="G62" s="223"/>
      <c r="H62" s="207"/>
      <c r="I62" s="207"/>
      <c r="J62" s="223"/>
      <c r="K62" s="223"/>
      <c r="L62" s="223"/>
      <c r="M62" s="223"/>
      <c r="N62" s="223"/>
      <c r="O62" s="223"/>
      <c r="P62" s="223"/>
    </row>
    <row r="63" spans="1:16" ht="15">
      <c r="A63" s="234"/>
      <c r="B63" s="235"/>
      <c r="C63" s="234"/>
      <c r="D63" s="222"/>
      <c r="E63" s="223"/>
      <c r="F63" s="223"/>
      <c r="G63" s="223"/>
      <c r="H63" s="207"/>
      <c r="I63" s="207"/>
      <c r="J63" s="223"/>
      <c r="K63" s="223"/>
      <c r="L63" s="223"/>
      <c r="M63" s="223"/>
      <c r="N63" s="223"/>
      <c r="O63" s="223"/>
      <c r="P63" s="223"/>
    </row>
    <row r="64" spans="1:16" ht="15">
      <c r="A64" s="234"/>
      <c r="B64" s="235"/>
      <c r="C64" s="234"/>
      <c r="D64" s="222"/>
      <c r="E64" s="223"/>
      <c r="F64" s="223"/>
      <c r="G64" s="223"/>
      <c r="H64" s="207"/>
      <c r="I64" s="207"/>
      <c r="J64" s="223"/>
      <c r="K64" s="223"/>
      <c r="L64" s="223"/>
      <c r="M64" s="223"/>
      <c r="N64" s="223"/>
      <c r="O64" s="223"/>
      <c r="P64" s="223"/>
    </row>
    <row r="65" spans="1:16" ht="15">
      <c r="A65" s="234"/>
      <c r="B65" s="235"/>
      <c r="C65" s="234"/>
      <c r="D65" s="222"/>
      <c r="E65" s="223"/>
      <c r="F65" s="223"/>
      <c r="G65" s="223"/>
      <c r="H65" s="207"/>
      <c r="I65" s="207"/>
      <c r="J65" s="223"/>
      <c r="K65" s="223"/>
      <c r="L65" s="223"/>
      <c r="M65" s="223"/>
      <c r="N65" s="223"/>
      <c r="O65" s="223"/>
      <c r="P65" s="223"/>
    </row>
    <row r="66" spans="1:16" ht="15">
      <c r="A66" s="234"/>
      <c r="B66" s="235"/>
      <c r="C66" s="234"/>
      <c r="D66" s="222"/>
      <c r="E66" s="223"/>
      <c r="F66" s="223"/>
      <c r="G66" s="223"/>
      <c r="H66" s="207"/>
      <c r="I66" s="207"/>
      <c r="J66" s="223"/>
      <c r="K66" s="223"/>
      <c r="L66" s="223"/>
      <c r="M66" s="223"/>
      <c r="N66" s="223"/>
      <c r="O66" s="223"/>
      <c r="P66" s="223"/>
    </row>
    <row r="67" spans="1:16" ht="15">
      <c r="A67" s="234"/>
      <c r="B67" s="235"/>
      <c r="C67" s="234"/>
      <c r="D67" s="222"/>
      <c r="E67" s="223"/>
      <c r="F67" s="223"/>
      <c r="G67" s="223"/>
      <c r="H67" s="207"/>
      <c r="I67" s="207"/>
      <c r="J67" s="223"/>
      <c r="K67" s="223"/>
      <c r="L67" s="223"/>
      <c r="M67" s="223"/>
      <c r="N67" s="223"/>
      <c r="O67" s="223"/>
      <c r="P67" s="223"/>
    </row>
    <row r="68" spans="1:16" ht="15">
      <c r="A68" s="234"/>
      <c r="B68" s="235"/>
      <c r="C68" s="234"/>
      <c r="D68" s="222"/>
      <c r="E68" s="223"/>
      <c r="F68" s="223"/>
      <c r="G68" s="223"/>
      <c r="H68" s="207"/>
      <c r="I68" s="207"/>
      <c r="J68" s="223"/>
      <c r="K68" s="223"/>
      <c r="L68" s="223"/>
      <c r="M68" s="223"/>
      <c r="N68" s="223"/>
      <c r="O68" s="223"/>
      <c r="P68" s="223"/>
    </row>
    <row r="69" spans="1:16" ht="15">
      <c r="A69" s="234"/>
      <c r="B69" s="235"/>
      <c r="C69" s="234"/>
      <c r="D69" s="222"/>
      <c r="E69" s="223"/>
      <c r="F69" s="223"/>
      <c r="G69" s="223"/>
      <c r="H69" s="207"/>
      <c r="I69" s="207"/>
      <c r="J69" s="223"/>
      <c r="K69" s="223"/>
      <c r="L69" s="223"/>
      <c r="M69" s="223"/>
      <c r="N69" s="223"/>
      <c r="O69" s="223"/>
      <c r="P69" s="223"/>
    </row>
    <row r="70" spans="1:16" ht="15">
      <c r="A70" s="234"/>
      <c r="B70" s="235"/>
      <c r="C70" s="234"/>
      <c r="D70" s="222"/>
      <c r="E70" s="223"/>
      <c r="F70" s="223"/>
      <c r="G70" s="223"/>
      <c r="H70" s="207"/>
      <c r="I70" s="207"/>
      <c r="J70" s="223"/>
      <c r="K70" s="223"/>
      <c r="L70" s="223"/>
      <c r="M70" s="223"/>
      <c r="N70" s="223"/>
      <c r="O70" s="223"/>
      <c r="P70" s="223"/>
    </row>
    <row r="71" spans="1:16" ht="15">
      <c r="A71" s="234"/>
      <c r="B71" s="235"/>
      <c r="C71" s="234"/>
      <c r="D71" s="222"/>
      <c r="E71" s="223"/>
      <c r="F71" s="223"/>
      <c r="G71" s="223"/>
      <c r="H71" s="207"/>
      <c r="I71" s="207"/>
      <c r="J71" s="223"/>
      <c r="K71" s="223"/>
      <c r="L71" s="223"/>
      <c r="M71" s="223"/>
      <c r="N71" s="223"/>
      <c r="O71" s="223"/>
      <c r="P71" s="223"/>
    </row>
    <row r="72" spans="1:16" ht="15">
      <c r="A72" s="234"/>
      <c r="B72" s="235"/>
      <c r="C72" s="234"/>
      <c r="D72" s="222"/>
      <c r="E72" s="223"/>
      <c r="F72" s="223"/>
      <c r="G72" s="223"/>
      <c r="H72" s="207"/>
      <c r="I72" s="207"/>
      <c r="J72" s="223"/>
      <c r="K72" s="223"/>
      <c r="L72" s="223"/>
      <c r="M72" s="223"/>
      <c r="N72" s="223"/>
      <c r="O72" s="223"/>
      <c r="P72" s="223"/>
    </row>
    <row r="73" spans="1:16" ht="15">
      <c r="A73" s="234"/>
      <c r="B73" s="235"/>
      <c r="C73" s="234"/>
      <c r="D73" s="222"/>
      <c r="E73" s="223"/>
      <c r="F73" s="223"/>
      <c r="G73" s="223"/>
      <c r="H73" s="207"/>
      <c r="I73" s="207"/>
      <c r="J73" s="223"/>
      <c r="K73" s="223"/>
      <c r="L73" s="223"/>
      <c r="M73" s="223"/>
      <c r="N73" s="223"/>
      <c r="O73" s="223"/>
      <c r="P73" s="223"/>
    </row>
    <row r="74" spans="1:16" ht="15">
      <c r="A74" s="234"/>
      <c r="B74" s="235"/>
      <c r="C74" s="234"/>
      <c r="D74" s="222"/>
      <c r="E74" s="223"/>
      <c r="F74" s="223"/>
      <c r="G74" s="223"/>
      <c r="H74" s="207"/>
      <c r="I74" s="207"/>
      <c r="J74" s="223"/>
      <c r="K74" s="223"/>
      <c r="L74" s="223"/>
      <c r="M74" s="223"/>
      <c r="N74" s="223"/>
      <c r="O74" s="223"/>
      <c r="P74" s="223"/>
    </row>
    <row r="75" spans="1:16" ht="15">
      <c r="A75" s="234"/>
      <c r="B75" s="235"/>
      <c r="C75" s="234"/>
      <c r="D75" s="222"/>
      <c r="E75" s="223"/>
      <c r="F75" s="223"/>
      <c r="G75" s="223"/>
      <c r="H75" s="207"/>
      <c r="I75" s="207"/>
      <c r="J75" s="223"/>
      <c r="K75" s="223"/>
      <c r="L75" s="223"/>
      <c r="M75" s="223"/>
      <c r="N75" s="223"/>
      <c r="O75" s="223"/>
      <c r="P75" s="223"/>
    </row>
    <row r="76" spans="1:16" ht="15">
      <c r="A76" s="234"/>
      <c r="B76" s="235"/>
      <c r="C76" s="234"/>
      <c r="D76" s="222"/>
      <c r="E76" s="223"/>
      <c r="F76" s="223"/>
      <c r="G76" s="223"/>
      <c r="H76" s="207"/>
      <c r="I76" s="207"/>
      <c r="J76" s="223"/>
      <c r="K76" s="223"/>
      <c r="L76" s="223"/>
      <c r="M76" s="223"/>
      <c r="N76" s="223"/>
      <c r="O76" s="223"/>
      <c r="P76" s="223"/>
    </row>
    <row r="77" spans="1:16" ht="15">
      <c r="A77" s="234"/>
      <c r="B77" s="235"/>
      <c r="C77" s="234"/>
      <c r="D77" s="222"/>
      <c r="E77" s="223"/>
      <c r="F77" s="223"/>
      <c r="G77" s="223"/>
      <c r="H77" s="207"/>
      <c r="I77" s="207"/>
      <c r="J77" s="223"/>
      <c r="K77" s="223"/>
      <c r="L77" s="223"/>
      <c r="M77" s="223"/>
      <c r="N77" s="223"/>
      <c r="O77" s="223"/>
      <c r="P77" s="223"/>
    </row>
    <row r="78" spans="1:16" ht="15">
      <c r="A78" s="234"/>
      <c r="B78" s="235"/>
      <c r="C78" s="234"/>
      <c r="D78" s="222"/>
      <c r="E78" s="223"/>
      <c r="F78" s="223"/>
      <c r="G78" s="223"/>
      <c r="H78" s="207"/>
      <c r="I78" s="207"/>
      <c r="J78" s="223"/>
      <c r="K78" s="223"/>
      <c r="L78" s="223"/>
      <c r="M78" s="223"/>
      <c r="N78" s="223"/>
      <c r="O78" s="223"/>
      <c r="P78" s="223"/>
    </row>
    <row r="79" spans="1:16" ht="15">
      <c r="A79" s="234"/>
      <c r="B79" s="235"/>
      <c r="C79" s="234"/>
      <c r="D79" s="222"/>
      <c r="E79" s="223"/>
      <c r="F79" s="223"/>
      <c r="G79" s="223"/>
      <c r="H79" s="207"/>
      <c r="I79" s="207"/>
      <c r="J79" s="223"/>
      <c r="K79" s="223"/>
      <c r="L79" s="223"/>
      <c r="M79" s="223"/>
      <c r="N79" s="223"/>
      <c r="O79" s="223"/>
      <c r="P79" s="223"/>
    </row>
    <row r="80" spans="1:16" ht="15">
      <c r="A80" s="234"/>
      <c r="B80" s="235"/>
      <c r="C80" s="234"/>
      <c r="D80" s="222"/>
      <c r="E80" s="223"/>
      <c r="F80" s="223"/>
      <c r="G80" s="223"/>
      <c r="H80" s="207"/>
      <c r="I80" s="207"/>
      <c r="J80" s="223"/>
      <c r="K80" s="223"/>
      <c r="L80" s="223"/>
      <c r="M80" s="223"/>
      <c r="N80" s="223"/>
      <c r="O80" s="223"/>
      <c r="P80" s="223"/>
    </row>
    <row r="81" spans="1:16" ht="15">
      <c r="A81" s="234"/>
      <c r="B81" s="235"/>
      <c r="C81" s="234"/>
      <c r="D81" s="222"/>
      <c r="E81" s="223"/>
      <c r="F81" s="223"/>
      <c r="G81" s="223"/>
      <c r="H81" s="207"/>
      <c r="I81" s="207"/>
      <c r="J81" s="223"/>
      <c r="K81" s="223"/>
      <c r="L81" s="223"/>
      <c r="M81" s="223"/>
      <c r="N81" s="223"/>
      <c r="O81" s="223"/>
      <c r="P81" s="223"/>
    </row>
    <row r="82" spans="1:16" ht="15">
      <c r="A82" s="234"/>
      <c r="B82" s="235"/>
      <c r="C82" s="234"/>
      <c r="D82" s="222"/>
      <c r="E82" s="223"/>
      <c r="F82" s="223"/>
      <c r="G82" s="223"/>
      <c r="H82" s="207"/>
      <c r="I82" s="207"/>
      <c r="J82" s="223"/>
      <c r="K82" s="223"/>
      <c r="L82" s="223"/>
      <c r="M82" s="223"/>
      <c r="N82" s="223"/>
      <c r="O82" s="223"/>
      <c r="P82" s="223"/>
    </row>
    <row r="83" spans="1:16" ht="15">
      <c r="A83" s="234"/>
      <c r="B83" s="235"/>
      <c r="C83" s="234"/>
      <c r="D83" s="222"/>
      <c r="E83" s="223"/>
      <c r="F83" s="223"/>
      <c r="G83" s="223"/>
      <c r="H83" s="207"/>
      <c r="I83" s="207"/>
      <c r="J83" s="223"/>
      <c r="K83" s="223"/>
      <c r="L83" s="223"/>
      <c r="M83" s="223"/>
      <c r="N83" s="223"/>
      <c r="O83" s="223"/>
      <c r="P83" s="223"/>
    </row>
    <row r="84" spans="1:16" ht="15">
      <c r="A84" s="234"/>
      <c r="B84" s="235"/>
      <c r="C84" s="234"/>
      <c r="D84" s="222"/>
      <c r="E84" s="223"/>
      <c r="F84" s="223"/>
      <c r="G84" s="223"/>
      <c r="H84" s="207"/>
      <c r="I84" s="207"/>
      <c r="J84" s="223"/>
      <c r="K84" s="223"/>
      <c r="L84" s="223"/>
      <c r="M84" s="223"/>
      <c r="N84" s="223"/>
      <c r="O84" s="223"/>
      <c r="P84" s="223"/>
    </row>
    <row r="85" spans="1:16" ht="15">
      <c r="A85" s="234"/>
      <c r="B85" s="235"/>
      <c r="C85" s="234"/>
      <c r="D85" s="222"/>
      <c r="E85" s="223"/>
      <c r="F85" s="223"/>
      <c r="G85" s="223"/>
      <c r="H85" s="207"/>
      <c r="I85" s="207"/>
      <c r="J85" s="223"/>
      <c r="K85" s="223"/>
      <c r="L85" s="223"/>
      <c r="M85" s="223"/>
      <c r="N85" s="223"/>
      <c r="O85" s="223"/>
      <c r="P85" s="223"/>
    </row>
    <row r="86" spans="1:16" ht="15">
      <c r="A86" s="234"/>
      <c r="B86" s="235"/>
      <c r="C86" s="234"/>
      <c r="D86" s="222"/>
      <c r="E86" s="223"/>
      <c r="F86" s="223"/>
      <c r="G86" s="223"/>
      <c r="H86" s="207"/>
      <c r="I86" s="207"/>
      <c r="J86" s="223"/>
      <c r="K86" s="223"/>
      <c r="L86" s="223"/>
      <c r="M86" s="223"/>
      <c r="N86" s="223"/>
      <c r="O86" s="223"/>
      <c r="P86" s="223"/>
    </row>
    <row r="87" spans="1:16" ht="15">
      <c r="A87" s="234"/>
      <c r="B87" s="235"/>
      <c r="C87" s="234"/>
      <c r="D87" s="222"/>
      <c r="E87" s="223"/>
      <c r="F87" s="223"/>
      <c r="G87" s="223"/>
      <c r="H87" s="207"/>
      <c r="I87" s="207"/>
      <c r="J87" s="223"/>
      <c r="K87" s="223"/>
      <c r="L87" s="223"/>
      <c r="M87" s="223"/>
      <c r="N87" s="223"/>
      <c r="O87" s="223"/>
      <c r="P87" s="223"/>
    </row>
    <row r="88" spans="1:16" ht="15">
      <c r="A88" s="234"/>
      <c r="B88" s="235"/>
      <c r="C88" s="234"/>
      <c r="D88" s="222"/>
      <c r="E88" s="223"/>
      <c r="F88" s="223"/>
      <c r="G88" s="223"/>
      <c r="H88" s="207"/>
      <c r="I88" s="207"/>
      <c r="J88" s="223"/>
      <c r="K88" s="223"/>
      <c r="L88" s="223"/>
      <c r="M88" s="223"/>
      <c r="N88" s="223"/>
      <c r="O88" s="223"/>
      <c r="P88" s="223"/>
    </row>
    <row r="89" spans="1:16" ht="15">
      <c r="A89" s="234"/>
      <c r="B89" s="235"/>
      <c r="C89" s="234"/>
      <c r="D89" s="222"/>
      <c r="E89" s="223"/>
      <c r="F89" s="223"/>
      <c r="G89" s="223"/>
      <c r="H89" s="207"/>
      <c r="I89" s="207"/>
      <c r="J89" s="223"/>
      <c r="K89" s="223"/>
      <c r="L89" s="223"/>
      <c r="M89" s="223"/>
      <c r="N89" s="223"/>
      <c r="O89" s="223"/>
      <c r="P89" s="223"/>
    </row>
    <row r="90" spans="1:16" ht="15">
      <c r="A90" s="234"/>
      <c r="B90" s="235"/>
      <c r="C90" s="234"/>
      <c r="D90" s="222"/>
      <c r="E90" s="223"/>
      <c r="F90" s="223"/>
      <c r="G90" s="223"/>
      <c r="H90" s="207"/>
      <c r="I90" s="207"/>
      <c r="J90" s="223"/>
      <c r="K90" s="223"/>
      <c r="L90" s="223"/>
      <c r="M90" s="223"/>
      <c r="N90" s="223"/>
      <c r="O90" s="223"/>
      <c r="P90" s="223"/>
    </row>
    <row r="91" spans="1:16" ht="15">
      <c r="A91" s="234"/>
      <c r="B91" s="235"/>
      <c r="C91" s="234"/>
      <c r="D91" s="222"/>
      <c r="E91" s="223"/>
      <c r="F91" s="223"/>
      <c r="G91" s="223"/>
      <c r="H91" s="207"/>
      <c r="I91" s="207"/>
      <c r="J91" s="223"/>
      <c r="K91" s="223"/>
      <c r="L91" s="223"/>
      <c r="M91" s="223"/>
      <c r="N91" s="223"/>
      <c r="O91" s="223"/>
      <c r="P91" s="223"/>
    </row>
    <row r="92" spans="1:16" ht="15">
      <c r="A92" s="234"/>
      <c r="B92" s="235"/>
      <c r="C92" s="234"/>
      <c r="D92" s="222"/>
      <c r="E92" s="223"/>
      <c r="F92" s="223"/>
      <c r="G92" s="223"/>
      <c r="H92" s="207"/>
      <c r="I92" s="207"/>
      <c r="J92" s="223"/>
      <c r="K92" s="223"/>
      <c r="L92" s="223"/>
      <c r="M92" s="223"/>
      <c r="N92" s="223"/>
      <c r="O92" s="223"/>
      <c r="P92" s="223"/>
    </row>
    <row r="93" spans="1:16" ht="15">
      <c r="A93" s="234"/>
      <c r="B93" s="235"/>
      <c r="C93" s="234"/>
      <c r="D93" s="222"/>
      <c r="E93" s="223"/>
      <c r="F93" s="223"/>
      <c r="G93" s="223"/>
      <c r="H93" s="207"/>
      <c r="I93" s="207"/>
      <c r="J93" s="223"/>
      <c r="K93" s="223"/>
      <c r="L93" s="223"/>
      <c r="M93" s="223"/>
      <c r="N93" s="223"/>
      <c r="O93" s="223"/>
      <c r="P93" s="223"/>
    </row>
    <row r="94" spans="1:16" ht="15">
      <c r="A94" s="234"/>
      <c r="B94" s="235"/>
      <c r="C94" s="234"/>
      <c r="D94" s="222"/>
      <c r="E94" s="223"/>
      <c r="F94" s="223"/>
      <c r="G94" s="223"/>
      <c r="H94" s="207"/>
      <c r="I94" s="207"/>
      <c r="J94" s="223"/>
      <c r="K94" s="223"/>
      <c r="L94" s="223"/>
      <c r="M94" s="223"/>
      <c r="N94" s="223"/>
      <c r="O94" s="223"/>
      <c r="P94" s="223"/>
    </row>
    <row r="95" spans="1:16" ht="15">
      <c r="A95" s="234"/>
      <c r="B95" s="235"/>
      <c r="C95" s="234"/>
      <c r="D95" s="222"/>
      <c r="E95" s="223"/>
      <c r="F95" s="223"/>
      <c r="G95" s="223"/>
      <c r="H95" s="207"/>
      <c r="I95" s="207"/>
      <c r="J95" s="223"/>
      <c r="K95" s="223"/>
      <c r="L95" s="223"/>
      <c r="M95" s="223"/>
      <c r="N95" s="223"/>
      <c r="O95" s="223"/>
      <c r="P95" s="223"/>
    </row>
    <row r="96" spans="1:16" ht="15">
      <c r="A96" s="234"/>
      <c r="B96" s="235"/>
      <c r="C96" s="234"/>
      <c r="D96" s="222"/>
      <c r="E96" s="223"/>
      <c r="F96" s="223"/>
      <c r="G96" s="223"/>
      <c r="H96" s="207"/>
      <c r="I96" s="207"/>
      <c r="J96" s="223"/>
      <c r="K96" s="223"/>
      <c r="L96" s="223"/>
      <c r="M96" s="223"/>
      <c r="N96" s="223"/>
      <c r="O96" s="223"/>
      <c r="P96" s="223"/>
    </row>
    <row r="97" spans="1:16" ht="15">
      <c r="A97" s="234"/>
      <c r="B97" s="235"/>
      <c r="C97" s="234"/>
      <c r="D97" s="222"/>
      <c r="E97" s="223"/>
      <c r="F97" s="223"/>
      <c r="G97" s="223"/>
      <c r="H97" s="207"/>
      <c r="I97" s="207"/>
      <c r="J97" s="223"/>
      <c r="K97" s="223"/>
      <c r="L97" s="223"/>
      <c r="M97" s="223"/>
      <c r="N97" s="223"/>
      <c r="O97" s="223"/>
      <c r="P97" s="223"/>
    </row>
    <row r="98" spans="1:16" ht="15">
      <c r="A98" s="234"/>
      <c r="B98" s="235"/>
      <c r="C98" s="234"/>
      <c r="D98" s="222"/>
      <c r="E98" s="223"/>
      <c r="F98" s="223"/>
      <c r="G98" s="223"/>
      <c r="H98" s="207"/>
      <c r="I98" s="207"/>
      <c r="J98" s="223"/>
      <c r="K98" s="223"/>
      <c r="L98" s="223"/>
      <c r="M98" s="223"/>
      <c r="N98" s="223"/>
      <c r="O98" s="223"/>
      <c r="P98" s="223"/>
    </row>
    <row r="99" spans="1:16" ht="15">
      <c r="A99" s="234"/>
      <c r="B99" s="235"/>
      <c r="C99" s="234"/>
      <c r="D99" s="222"/>
      <c r="E99" s="223"/>
      <c r="F99" s="223"/>
      <c r="G99" s="223"/>
      <c r="H99" s="207"/>
      <c r="I99" s="207"/>
      <c r="J99" s="223"/>
      <c r="K99" s="223"/>
      <c r="L99" s="223"/>
      <c r="M99" s="223"/>
      <c r="N99" s="223"/>
      <c r="O99" s="223"/>
      <c r="P99" s="223"/>
    </row>
    <row r="100" spans="1:16" ht="15">
      <c r="A100" s="234"/>
      <c r="B100" s="235"/>
      <c r="C100" s="234"/>
      <c r="D100" s="222"/>
      <c r="E100" s="223"/>
      <c r="F100" s="223"/>
      <c r="G100" s="223"/>
      <c r="H100" s="207"/>
      <c r="I100" s="207"/>
      <c r="J100" s="223"/>
      <c r="K100" s="223"/>
      <c r="L100" s="223"/>
      <c r="M100" s="223"/>
      <c r="N100" s="223"/>
      <c r="O100" s="223"/>
      <c r="P100" s="223"/>
    </row>
    <row r="101" spans="1:16" ht="15">
      <c r="A101" s="234"/>
      <c r="B101" s="235"/>
      <c r="C101" s="234"/>
      <c r="D101" s="222"/>
      <c r="E101" s="223"/>
      <c r="F101" s="223"/>
      <c r="G101" s="223"/>
      <c r="H101" s="207"/>
      <c r="I101" s="207"/>
      <c r="J101" s="223"/>
      <c r="K101" s="223"/>
      <c r="L101" s="223"/>
      <c r="M101" s="223"/>
      <c r="N101" s="223"/>
      <c r="O101" s="223"/>
      <c r="P101" s="223"/>
    </row>
    <row r="102" spans="1:16" ht="15">
      <c r="A102" s="234"/>
      <c r="B102" s="235"/>
      <c r="C102" s="234"/>
      <c r="D102" s="222"/>
      <c r="E102" s="223"/>
      <c r="F102" s="223"/>
      <c r="G102" s="223"/>
      <c r="H102" s="207"/>
      <c r="I102" s="207"/>
      <c r="J102" s="223"/>
      <c r="K102" s="223"/>
      <c r="L102" s="223"/>
      <c r="M102" s="223"/>
      <c r="N102" s="223"/>
      <c r="O102" s="223"/>
      <c r="P102" s="223"/>
    </row>
    <row r="103" spans="1:16" ht="15">
      <c r="A103" s="234"/>
      <c r="B103" s="235"/>
      <c r="C103" s="234"/>
      <c r="D103" s="222"/>
      <c r="E103" s="223"/>
      <c r="F103" s="223"/>
      <c r="G103" s="223"/>
      <c r="H103" s="207"/>
      <c r="I103" s="207"/>
      <c r="J103" s="223"/>
      <c r="K103" s="223"/>
      <c r="L103" s="223"/>
      <c r="M103" s="223"/>
      <c r="N103" s="223"/>
      <c r="O103" s="223"/>
      <c r="P103" s="223"/>
    </row>
    <row r="104" spans="1:16" ht="15">
      <c r="A104" s="234"/>
      <c r="B104" s="235"/>
      <c r="C104" s="234"/>
      <c r="D104" s="222"/>
      <c r="E104" s="223"/>
      <c r="F104" s="223"/>
      <c r="G104" s="223"/>
      <c r="H104" s="207"/>
      <c r="I104" s="207"/>
      <c r="J104" s="223"/>
      <c r="K104" s="223"/>
      <c r="L104" s="223"/>
      <c r="M104" s="223"/>
      <c r="N104" s="223"/>
      <c r="O104" s="223"/>
      <c r="P104" s="223"/>
    </row>
    <row r="105" spans="1:16" ht="15">
      <c r="A105" s="234"/>
      <c r="B105" s="235"/>
      <c r="C105" s="234"/>
      <c r="D105" s="222"/>
      <c r="E105" s="223"/>
      <c r="F105" s="223"/>
      <c r="G105" s="223"/>
      <c r="H105" s="207"/>
      <c r="I105" s="207"/>
      <c r="J105" s="223"/>
      <c r="K105" s="223"/>
      <c r="L105" s="223"/>
      <c r="M105" s="223"/>
      <c r="N105" s="223"/>
      <c r="O105" s="223"/>
      <c r="P105" s="223"/>
    </row>
    <row r="106" spans="1:16" ht="15">
      <c r="A106" s="234"/>
      <c r="B106" s="235"/>
      <c r="C106" s="234"/>
      <c r="D106" s="222"/>
      <c r="E106" s="223"/>
      <c r="F106" s="223"/>
      <c r="G106" s="223"/>
      <c r="H106" s="207"/>
      <c r="I106" s="207"/>
      <c r="J106" s="223"/>
      <c r="K106" s="223"/>
      <c r="L106" s="223"/>
      <c r="M106" s="223"/>
      <c r="N106" s="223"/>
      <c r="O106" s="223"/>
      <c r="P106" s="223"/>
    </row>
    <row r="107" spans="1:16" ht="15">
      <c r="A107" s="234"/>
      <c r="B107" s="235"/>
      <c r="C107" s="234"/>
      <c r="D107" s="222"/>
      <c r="E107" s="223"/>
      <c r="F107" s="223"/>
      <c r="G107" s="223"/>
      <c r="H107" s="207"/>
      <c r="I107" s="207"/>
      <c r="J107" s="223"/>
      <c r="K107" s="223"/>
      <c r="L107" s="223"/>
      <c r="M107" s="223"/>
      <c r="N107" s="223"/>
      <c r="O107" s="223"/>
      <c r="P107" s="223"/>
    </row>
    <row r="108" spans="1:16" ht="15">
      <c r="A108" s="234"/>
      <c r="B108" s="235"/>
      <c r="C108" s="234"/>
      <c r="D108" s="222"/>
      <c r="E108" s="223"/>
      <c r="F108" s="223"/>
      <c r="G108" s="223"/>
      <c r="H108" s="207"/>
      <c r="I108" s="207"/>
      <c r="J108" s="223"/>
      <c r="K108" s="223"/>
      <c r="L108" s="223"/>
      <c r="M108" s="223"/>
      <c r="N108" s="223"/>
      <c r="O108" s="223"/>
      <c r="P108" s="223"/>
    </row>
    <row r="109" spans="1:16" ht="15">
      <c r="A109" s="234"/>
      <c r="B109" s="235"/>
      <c r="C109" s="234"/>
      <c r="D109" s="222"/>
      <c r="E109" s="223"/>
      <c r="F109" s="223"/>
      <c r="G109" s="223"/>
      <c r="H109" s="207"/>
      <c r="I109" s="207"/>
      <c r="J109" s="223"/>
      <c r="K109" s="223"/>
      <c r="L109" s="223"/>
      <c r="M109" s="223"/>
      <c r="N109" s="223"/>
      <c r="O109" s="223"/>
      <c r="P109" s="223"/>
    </row>
    <row r="110" spans="1:16" ht="15">
      <c r="A110" s="234"/>
      <c r="B110" s="235"/>
      <c r="C110" s="234"/>
      <c r="D110" s="222"/>
      <c r="E110" s="223"/>
      <c r="F110" s="223"/>
      <c r="G110" s="223"/>
      <c r="H110" s="207"/>
      <c r="I110" s="207"/>
      <c r="J110" s="223"/>
      <c r="K110" s="223"/>
      <c r="L110" s="223"/>
      <c r="M110" s="223"/>
      <c r="N110" s="223"/>
      <c r="O110" s="223"/>
      <c r="P110" s="223"/>
    </row>
    <row r="111" spans="1:16" ht="15">
      <c r="A111" s="234"/>
      <c r="B111" s="235"/>
      <c r="C111" s="234"/>
      <c r="D111" s="222"/>
      <c r="E111" s="223"/>
      <c r="F111" s="223"/>
      <c r="G111" s="223"/>
      <c r="H111" s="207"/>
      <c r="I111" s="207"/>
      <c r="J111" s="223"/>
      <c r="K111" s="223"/>
      <c r="L111" s="223"/>
      <c r="M111" s="223"/>
      <c r="N111" s="223"/>
      <c r="O111" s="223"/>
      <c r="P111" s="223"/>
    </row>
    <row r="112" spans="1:16" ht="15">
      <c r="A112" s="234"/>
      <c r="B112" s="235"/>
      <c r="C112" s="234"/>
      <c r="D112" s="222"/>
      <c r="E112" s="223"/>
      <c r="F112" s="223"/>
      <c r="G112" s="223"/>
      <c r="H112" s="207"/>
      <c r="I112" s="207"/>
      <c r="J112" s="223"/>
      <c r="K112" s="223"/>
      <c r="L112" s="223"/>
      <c r="M112" s="223"/>
      <c r="N112" s="223"/>
      <c r="O112" s="223"/>
      <c r="P112" s="223"/>
    </row>
    <row r="113" spans="1:16" ht="15">
      <c r="A113" s="234"/>
      <c r="B113" s="235"/>
      <c r="C113" s="234"/>
      <c r="D113" s="222"/>
      <c r="E113" s="223"/>
      <c r="F113" s="223"/>
      <c r="G113" s="223"/>
      <c r="H113" s="207"/>
      <c r="I113" s="207"/>
      <c r="J113" s="223"/>
      <c r="K113" s="223"/>
      <c r="L113" s="223"/>
      <c r="M113" s="223"/>
      <c r="N113" s="223"/>
      <c r="O113" s="223"/>
      <c r="P113" s="223"/>
    </row>
    <row r="114" spans="1:16" ht="15">
      <c r="A114" s="234"/>
      <c r="B114" s="235"/>
      <c r="C114" s="234"/>
      <c r="D114" s="222"/>
      <c r="E114" s="223"/>
      <c r="F114" s="223"/>
      <c r="G114" s="223"/>
      <c r="H114" s="207"/>
      <c r="I114" s="207"/>
      <c r="J114" s="223"/>
      <c r="K114" s="223"/>
      <c r="L114" s="223"/>
      <c r="M114" s="223"/>
      <c r="N114" s="223"/>
      <c r="O114" s="223"/>
      <c r="P114" s="223"/>
    </row>
    <row r="115" spans="1:16" ht="15">
      <c r="A115" s="234"/>
      <c r="B115" s="235"/>
      <c r="C115" s="234"/>
      <c r="D115" s="222"/>
      <c r="E115" s="223"/>
      <c r="F115" s="223"/>
      <c r="G115" s="223"/>
      <c r="H115" s="207"/>
      <c r="I115" s="207"/>
      <c r="J115" s="223"/>
      <c r="K115" s="223"/>
      <c r="L115" s="223"/>
      <c r="M115" s="223"/>
      <c r="N115" s="223"/>
      <c r="O115" s="223"/>
      <c r="P115" s="223"/>
    </row>
    <row r="116" spans="1:16" ht="15">
      <c r="A116" s="234"/>
      <c r="B116" s="235"/>
      <c r="C116" s="234"/>
      <c r="D116" s="222"/>
      <c r="E116" s="223"/>
      <c r="F116" s="223"/>
      <c r="G116" s="223"/>
      <c r="H116" s="207"/>
      <c r="I116" s="207"/>
      <c r="J116" s="223"/>
      <c r="K116" s="223"/>
      <c r="L116" s="223"/>
      <c r="M116" s="223"/>
      <c r="N116" s="223"/>
      <c r="O116" s="223"/>
      <c r="P116" s="223"/>
    </row>
    <row r="117" spans="1:16" ht="15">
      <c r="A117" s="234"/>
      <c r="B117" s="235"/>
      <c r="C117" s="234"/>
      <c r="D117" s="222"/>
      <c r="E117" s="223"/>
      <c r="F117" s="223"/>
      <c r="G117" s="223"/>
      <c r="H117" s="207"/>
      <c r="I117" s="207"/>
      <c r="J117" s="223"/>
      <c r="K117" s="223"/>
      <c r="L117" s="223"/>
      <c r="M117" s="223"/>
      <c r="N117" s="223"/>
      <c r="O117" s="223"/>
      <c r="P117" s="223"/>
    </row>
    <row r="118" spans="1:16" ht="15">
      <c r="A118" s="234"/>
      <c r="B118" s="235"/>
      <c r="C118" s="234"/>
      <c r="D118" s="222"/>
      <c r="E118" s="223"/>
      <c r="F118" s="223"/>
      <c r="G118" s="223"/>
      <c r="H118" s="207"/>
      <c r="I118" s="207"/>
      <c r="J118" s="223"/>
      <c r="K118" s="223"/>
      <c r="L118" s="223"/>
      <c r="M118" s="223"/>
      <c r="N118" s="223"/>
      <c r="O118" s="223"/>
      <c r="P118" s="223"/>
    </row>
    <row r="119" spans="1:16" ht="15">
      <c r="A119" s="234"/>
      <c r="B119" s="235"/>
      <c r="C119" s="234"/>
      <c r="D119" s="222"/>
      <c r="E119" s="223"/>
      <c r="F119" s="223"/>
      <c r="G119" s="223"/>
      <c r="H119" s="207"/>
      <c r="I119" s="207"/>
      <c r="J119" s="223"/>
      <c r="K119" s="223"/>
      <c r="L119" s="223"/>
      <c r="M119" s="223"/>
      <c r="N119" s="223"/>
      <c r="O119" s="223"/>
      <c r="P119" s="223"/>
    </row>
    <row r="120" spans="1:16" ht="15">
      <c r="A120" s="234"/>
      <c r="B120" s="235"/>
      <c r="C120" s="234"/>
      <c r="D120" s="222"/>
      <c r="E120" s="223"/>
      <c r="F120" s="223"/>
      <c r="G120" s="223"/>
      <c r="H120" s="207"/>
      <c r="I120" s="207"/>
      <c r="J120" s="223"/>
      <c r="K120" s="223"/>
      <c r="L120" s="223"/>
      <c r="M120" s="223"/>
      <c r="N120" s="223"/>
      <c r="O120" s="223"/>
      <c r="P120" s="223"/>
    </row>
    <row r="121" spans="1:16" ht="15">
      <c r="A121" s="234"/>
      <c r="B121" s="235"/>
      <c r="C121" s="234"/>
      <c r="D121" s="222"/>
      <c r="E121" s="223"/>
      <c r="F121" s="223"/>
      <c r="G121" s="223"/>
      <c r="H121" s="207"/>
      <c r="I121" s="207"/>
      <c r="J121" s="223"/>
      <c r="K121" s="223"/>
      <c r="L121" s="223"/>
      <c r="M121" s="223"/>
      <c r="N121" s="223"/>
      <c r="O121" s="223"/>
      <c r="P121" s="223"/>
    </row>
    <row r="122" spans="1:16" ht="15">
      <c r="A122" s="234"/>
      <c r="B122" s="235"/>
      <c r="C122" s="234"/>
      <c r="D122" s="222"/>
      <c r="E122" s="223"/>
      <c r="F122" s="223"/>
      <c r="G122" s="223"/>
      <c r="H122" s="207"/>
      <c r="I122" s="207"/>
      <c r="J122" s="223"/>
      <c r="K122" s="223"/>
      <c r="L122" s="223"/>
      <c r="M122" s="223"/>
      <c r="N122" s="223"/>
      <c r="O122" s="223"/>
      <c r="P122" s="223"/>
    </row>
    <row r="123" spans="1:16" ht="15">
      <c r="A123" s="234"/>
      <c r="B123" s="235"/>
      <c r="C123" s="234"/>
      <c r="D123" s="222"/>
      <c r="E123" s="223"/>
      <c r="F123" s="223"/>
      <c r="G123" s="223"/>
      <c r="H123" s="207"/>
      <c r="I123" s="207"/>
      <c r="J123" s="223"/>
      <c r="K123" s="223"/>
      <c r="L123" s="223"/>
      <c r="M123" s="223"/>
      <c r="N123" s="223"/>
      <c r="O123" s="223"/>
      <c r="P123" s="223"/>
    </row>
    <row r="124" spans="1:16" ht="15">
      <c r="A124" s="234"/>
      <c r="B124" s="235"/>
      <c r="C124" s="234"/>
      <c r="D124" s="222"/>
      <c r="E124" s="223"/>
      <c r="F124" s="223"/>
      <c r="G124" s="223"/>
      <c r="H124" s="207"/>
      <c r="I124" s="207"/>
      <c r="J124" s="223"/>
      <c r="K124" s="223"/>
      <c r="L124" s="223"/>
      <c r="M124" s="223"/>
      <c r="N124" s="223"/>
      <c r="O124" s="223"/>
      <c r="P124" s="223"/>
    </row>
    <row r="125" spans="1:16" ht="15">
      <c r="A125" s="234"/>
      <c r="B125" s="235"/>
      <c r="C125" s="234"/>
      <c r="D125" s="222"/>
      <c r="E125" s="223"/>
      <c r="F125" s="223"/>
      <c r="G125" s="223"/>
      <c r="H125" s="207"/>
      <c r="I125" s="207"/>
      <c r="J125" s="223"/>
      <c r="K125" s="223"/>
      <c r="L125" s="223"/>
      <c r="M125" s="223"/>
      <c r="N125" s="223"/>
      <c r="O125" s="223"/>
      <c r="P125" s="223"/>
    </row>
    <row r="126" spans="1:16" ht="15">
      <c r="A126" s="234"/>
      <c r="B126" s="235"/>
      <c r="C126" s="234"/>
      <c r="D126" s="222"/>
      <c r="E126" s="223"/>
      <c r="F126" s="223"/>
      <c r="G126" s="223"/>
      <c r="H126" s="207"/>
      <c r="I126" s="207"/>
      <c r="J126" s="223"/>
      <c r="K126" s="223"/>
      <c r="L126" s="223"/>
      <c r="M126" s="223"/>
      <c r="N126" s="223"/>
      <c r="O126" s="223"/>
      <c r="P126" s="223"/>
    </row>
    <row r="127" spans="1:16" ht="15">
      <c r="A127" s="234"/>
      <c r="B127" s="235"/>
      <c r="C127" s="234"/>
      <c r="D127" s="222"/>
      <c r="E127" s="223"/>
      <c r="F127" s="223"/>
      <c r="G127" s="223"/>
      <c r="H127" s="207"/>
      <c r="I127" s="207"/>
      <c r="J127" s="223"/>
      <c r="K127" s="223"/>
      <c r="L127" s="223"/>
      <c r="M127" s="223"/>
      <c r="N127" s="223"/>
      <c r="O127" s="223"/>
      <c r="P127" s="223"/>
    </row>
    <row r="128" spans="1:16" ht="15">
      <c r="A128" s="234"/>
      <c r="B128" s="235"/>
      <c r="C128" s="234"/>
      <c r="D128" s="222"/>
      <c r="E128" s="223"/>
      <c r="F128" s="223"/>
      <c r="G128" s="223"/>
      <c r="H128" s="207"/>
      <c r="I128" s="207"/>
      <c r="J128" s="223"/>
      <c r="K128" s="223"/>
      <c r="L128" s="223"/>
      <c r="M128" s="223"/>
      <c r="N128" s="223"/>
      <c r="O128" s="223"/>
      <c r="P128" s="223"/>
    </row>
    <row r="129" spans="1:16" ht="15">
      <c r="A129" s="234"/>
      <c r="B129" s="235"/>
      <c r="C129" s="234"/>
      <c r="D129" s="222"/>
      <c r="E129" s="223"/>
      <c r="F129" s="223"/>
      <c r="G129" s="223"/>
      <c r="H129" s="207"/>
      <c r="I129" s="207"/>
      <c r="J129" s="223"/>
      <c r="K129" s="223"/>
      <c r="L129" s="223"/>
      <c r="M129" s="223"/>
      <c r="N129" s="223"/>
      <c r="O129" s="223"/>
      <c r="P129" s="223"/>
    </row>
    <row r="130" spans="1:16" ht="15">
      <c r="A130" s="234"/>
      <c r="B130" s="235"/>
      <c r="C130" s="234"/>
      <c r="D130" s="222"/>
      <c r="E130" s="223"/>
      <c r="F130" s="223"/>
      <c r="G130" s="223"/>
      <c r="H130" s="207"/>
      <c r="I130" s="207"/>
      <c r="J130" s="223"/>
      <c r="K130" s="223"/>
      <c r="L130" s="223"/>
      <c r="M130" s="223"/>
      <c r="N130" s="223"/>
      <c r="O130" s="223"/>
      <c r="P130" s="223"/>
    </row>
    <row r="131" spans="1:16" ht="15">
      <c r="A131" s="234"/>
      <c r="B131" s="235"/>
      <c r="C131" s="234"/>
      <c r="D131" s="222"/>
      <c r="E131" s="223"/>
      <c r="F131" s="223"/>
      <c r="G131" s="223"/>
      <c r="H131" s="207"/>
      <c r="I131" s="207"/>
      <c r="J131" s="223"/>
      <c r="K131" s="223"/>
      <c r="L131" s="223"/>
      <c r="M131" s="223"/>
      <c r="N131" s="223"/>
      <c r="O131" s="223"/>
      <c r="P131" s="223"/>
    </row>
    <row r="132" spans="1:16" ht="15">
      <c r="A132" s="234"/>
      <c r="B132" s="235"/>
      <c r="C132" s="234"/>
      <c r="D132" s="222"/>
      <c r="E132" s="223"/>
      <c r="F132" s="223"/>
      <c r="G132" s="223"/>
      <c r="H132" s="207"/>
      <c r="I132" s="207"/>
      <c r="J132" s="223"/>
      <c r="K132" s="223"/>
      <c r="L132" s="223"/>
      <c r="M132" s="223"/>
      <c r="N132" s="223"/>
      <c r="O132" s="223"/>
      <c r="P132" s="223"/>
    </row>
    <row r="133" spans="1:16" ht="15">
      <c r="A133" s="234"/>
      <c r="B133" s="235"/>
      <c r="C133" s="234"/>
      <c r="D133" s="222"/>
      <c r="E133" s="223"/>
      <c r="F133" s="223"/>
      <c r="G133" s="223"/>
      <c r="H133" s="207"/>
      <c r="I133" s="207"/>
      <c r="J133" s="223"/>
      <c r="K133" s="223"/>
      <c r="L133" s="223"/>
      <c r="M133" s="223"/>
      <c r="N133" s="223"/>
      <c r="O133" s="223"/>
      <c r="P133" s="223"/>
    </row>
    <row r="134" spans="1:16" ht="15">
      <c r="A134" s="234"/>
      <c r="B134" s="235"/>
      <c r="C134" s="234"/>
      <c r="D134" s="222"/>
      <c r="E134" s="223"/>
      <c r="F134" s="223"/>
      <c r="G134" s="223"/>
      <c r="H134" s="207"/>
      <c r="I134" s="207"/>
      <c r="J134" s="223"/>
      <c r="K134" s="223"/>
      <c r="L134" s="223"/>
      <c r="M134" s="223"/>
      <c r="N134" s="223"/>
      <c r="O134" s="223"/>
      <c r="P134" s="223"/>
    </row>
    <row r="135" spans="1:16" ht="15">
      <c r="A135" s="234"/>
      <c r="B135" s="235"/>
      <c r="C135" s="234"/>
      <c r="D135" s="222"/>
      <c r="E135" s="223"/>
      <c r="F135" s="223"/>
      <c r="G135" s="223"/>
      <c r="H135" s="207"/>
      <c r="I135" s="207"/>
      <c r="J135" s="223"/>
      <c r="K135" s="223"/>
      <c r="L135" s="223"/>
      <c r="M135" s="223"/>
      <c r="N135" s="223"/>
      <c r="O135" s="223"/>
      <c r="P135" s="223"/>
    </row>
    <row r="136" spans="1:16" ht="15">
      <c r="A136" s="234"/>
      <c r="B136" s="235"/>
      <c r="C136" s="234"/>
      <c r="D136" s="222"/>
      <c r="E136" s="223"/>
      <c r="F136" s="223"/>
      <c r="G136" s="223"/>
      <c r="H136" s="207"/>
      <c r="I136" s="207"/>
      <c r="J136" s="223"/>
      <c r="K136" s="223"/>
      <c r="L136" s="223"/>
      <c r="M136" s="223"/>
      <c r="N136" s="223"/>
      <c r="O136" s="223"/>
      <c r="P136" s="223"/>
    </row>
    <row r="137" spans="1:16" ht="15">
      <c r="A137" s="234"/>
      <c r="B137" s="235"/>
      <c r="C137" s="234"/>
      <c r="D137" s="222"/>
      <c r="E137" s="223"/>
      <c r="F137" s="223"/>
      <c r="G137" s="223"/>
      <c r="H137" s="207"/>
      <c r="I137" s="207"/>
      <c r="J137" s="223"/>
      <c r="K137" s="223"/>
      <c r="L137" s="223"/>
      <c r="M137" s="223"/>
      <c r="N137" s="223"/>
      <c r="O137" s="223"/>
      <c r="P137" s="223"/>
    </row>
    <row r="138" spans="1:16" ht="15">
      <c r="A138" s="234"/>
      <c r="B138" s="235"/>
      <c r="C138" s="234"/>
      <c r="D138" s="222"/>
      <c r="E138" s="223"/>
      <c r="F138" s="223"/>
      <c r="G138" s="223"/>
      <c r="H138" s="207"/>
      <c r="I138" s="207"/>
      <c r="J138" s="223"/>
      <c r="K138" s="223"/>
      <c r="L138" s="223"/>
      <c r="M138" s="223"/>
      <c r="N138" s="223"/>
      <c r="O138" s="223"/>
      <c r="P138" s="223"/>
    </row>
    <row r="139" spans="1:16" ht="15">
      <c r="A139" s="234"/>
      <c r="B139" s="235"/>
      <c r="C139" s="234"/>
      <c r="D139" s="222"/>
      <c r="E139" s="223"/>
      <c r="F139" s="223"/>
      <c r="G139" s="223"/>
      <c r="H139" s="207"/>
      <c r="I139" s="207"/>
      <c r="J139" s="223"/>
      <c r="K139" s="223"/>
      <c r="L139" s="223"/>
      <c r="M139" s="223"/>
      <c r="N139" s="223"/>
      <c r="O139" s="223"/>
      <c r="P139" s="223"/>
    </row>
    <row r="140" spans="1:16" ht="15">
      <c r="A140" s="234"/>
      <c r="B140" s="235"/>
      <c r="C140" s="234"/>
      <c r="D140" s="222"/>
      <c r="E140" s="223"/>
      <c r="F140" s="223"/>
      <c r="G140" s="223"/>
      <c r="H140" s="207"/>
      <c r="I140" s="207"/>
      <c r="J140" s="223"/>
      <c r="K140" s="223"/>
      <c r="L140" s="223"/>
      <c r="M140" s="223"/>
      <c r="N140" s="223"/>
      <c r="O140" s="223"/>
      <c r="P140" s="223"/>
    </row>
    <row r="141" spans="1:16" ht="15">
      <c r="A141" s="234"/>
      <c r="B141" s="235"/>
      <c r="C141" s="234"/>
      <c r="D141" s="222"/>
      <c r="E141" s="223"/>
      <c r="F141" s="223"/>
      <c r="G141" s="223"/>
      <c r="H141" s="207"/>
      <c r="I141" s="207"/>
      <c r="J141" s="223"/>
      <c r="K141" s="223"/>
      <c r="L141" s="223"/>
      <c r="M141" s="223"/>
      <c r="N141" s="223"/>
      <c r="O141" s="223"/>
      <c r="P141" s="223"/>
    </row>
    <row r="142" spans="1:16" ht="15">
      <c r="A142" s="234"/>
      <c r="B142" s="235"/>
      <c r="C142" s="234"/>
      <c r="D142" s="222"/>
      <c r="E142" s="223"/>
      <c r="F142" s="223"/>
      <c r="G142" s="223"/>
      <c r="H142" s="207"/>
      <c r="I142" s="207"/>
      <c r="J142" s="223"/>
      <c r="K142" s="223"/>
      <c r="L142" s="223"/>
      <c r="M142" s="223"/>
      <c r="N142" s="223"/>
      <c r="O142" s="223"/>
      <c r="P142" s="223"/>
    </row>
    <row r="143" spans="1:16" ht="15">
      <c r="A143" s="234"/>
      <c r="B143" s="235"/>
      <c r="C143" s="234"/>
      <c r="D143" s="222"/>
      <c r="E143" s="223"/>
      <c r="F143" s="223"/>
      <c r="G143" s="223"/>
      <c r="H143" s="207"/>
      <c r="I143" s="207"/>
      <c r="J143" s="223"/>
      <c r="K143" s="223"/>
      <c r="L143" s="223"/>
      <c r="M143" s="223"/>
      <c r="N143" s="223"/>
      <c r="O143" s="223"/>
      <c r="P143" s="223"/>
    </row>
    <row r="144" spans="1:16" ht="15">
      <c r="A144" s="234"/>
      <c r="B144" s="235"/>
      <c r="C144" s="234"/>
      <c r="D144" s="222"/>
      <c r="E144" s="223"/>
      <c r="F144" s="223"/>
      <c r="G144" s="223"/>
      <c r="H144" s="207"/>
      <c r="I144" s="207"/>
      <c r="J144" s="223"/>
      <c r="K144" s="223"/>
      <c r="L144" s="223"/>
      <c r="M144" s="223"/>
      <c r="N144" s="223"/>
      <c r="O144" s="223"/>
      <c r="P144" s="223"/>
    </row>
    <row r="145" spans="1:16" ht="15">
      <c r="A145" s="234"/>
      <c r="B145" s="235"/>
      <c r="C145" s="234"/>
      <c r="D145" s="222"/>
      <c r="E145" s="223"/>
      <c r="F145" s="223"/>
      <c r="G145" s="223"/>
      <c r="H145" s="207"/>
      <c r="I145" s="207"/>
      <c r="J145" s="223"/>
      <c r="K145" s="223"/>
      <c r="L145" s="223"/>
      <c r="M145" s="223"/>
      <c r="N145" s="223"/>
      <c r="O145" s="223"/>
      <c r="P145" s="223"/>
    </row>
    <row r="146" spans="1:16" ht="15">
      <c r="A146" s="234"/>
      <c r="B146" s="235"/>
      <c r="C146" s="234"/>
      <c r="D146" s="222"/>
      <c r="E146" s="223"/>
      <c r="F146" s="223"/>
      <c r="G146" s="223"/>
      <c r="H146" s="207"/>
      <c r="I146" s="207"/>
      <c r="J146" s="223"/>
      <c r="K146" s="223"/>
      <c r="L146" s="223"/>
      <c r="M146" s="223"/>
      <c r="N146" s="223"/>
      <c r="O146" s="223"/>
      <c r="P146" s="223"/>
    </row>
    <row r="147" spans="1:16" ht="15">
      <c r="A147" s="234"/>
      <c r="B147" s="235"/>
      <c r="C147" s="234"/>
      <c r="D147" s="222"/>
      <c r="E147" s="223"/>
      <c r="F147" s="223"/>
      <c r="G147" s="223"/>
      <c r="H147" s="207"/>
      <c r="I147" s="207"/>
      <c r="J147" s="223"/>
      <c r="K147" s="223"/>
      <c r="L147" s="223"/>
      <c r="M147" s="223"/>
      <c r="N147" s="223"/>
      <c r="O147" s="223"/>
      <c r="P147" s="223"/>
    </row>
    <row r="148" spans="1:16" ht="15">
      <c r="A148" s="234"/>
      <c r="B148" s="235"/>
      <c r="C148" s="234"/>
      <c r="D148" s="222"/>
      <c r="E148" s="223"/>
      <c r="F148" s="223"/>
      <c r="G148" s="223"/>
      <c r="H148" s="207"/>
      <c r="I148" s="207"/>
      <c r="J148" s="223"/>
      <c r="K148" s="223"/>
      <c r="L148" s="223"/>
      <c r="M148" s="223"/>
      <c r="N148" s="223"/>
      <c r="O148" s="223"/>
      <c r="P148" s="223"/>
    </row>
    <row r="149" spans="1:16" ht="15">
      <c r="A149" s="234"/>
      <c r="B149" s="235"/>
      <c r="C149" s="234"/>
      <c r="D149" s="222"/>
      <c r="E149" s="223"/>
      <c r="F149" s="223"/>
      <c r="G149" s="223"/>
      <c r="H149" s="207"/>
      <c r="I149" s="207"/>
      <c r="J149" s="223"/>
      <c r="K149" s="223"/>
      <c r="L149" s="223"/>
      <c r="M149" s="223"/>
      <c r="N149" s="223"/>
      <c r="O149" s="223"/>
      <c r="P149" s="223"/>
    </row>
    <row r="150" spans="1:16" ht="15">
      <c r="A150" s="234"/>
      <c r="B150" s="235"/>
      <c r="C150" s="234"/>
      <c r="D150" s="222"/>
      <c r="E150" s="223"/>
      <c r="F150" s="223"/>
      <c r="G150" s="223"/>
      <c r="H150" s="207"/>
      <c r="I150" s="207"/>
      <c r="J150" s="223"/>
      <c r="K150" s="223"/>
      <c r="L150" s="223"/>
      <c r="M150" s="223"/>
      <c r="N150" s="223"/>
      <c r="O150" s="223"/>
      <c r="P150" s="223"/>
    </row>
    <row r="151" spans="1:16" ht="15">
      <c r="A151" s="234"/>
      <c r="B151" s="235"/>
      <c r="C151" s="234"/>
      <c r="D151" s="222"/>
      <c r="E151" s="223"/>
      <c r="F151" s="223"/>
      <c r="G151" s="223"/>
      <c r="H151" s="207"/>
      <c r="I151" s="207"/>
      <c r="J151" s="223"/>
      <c r="K151" s="223"/>
      <c r="L151" s="223"/>
      <c r="M151" s="223"/>
      <c r="N151" s="223"/>
      <c r="O151" s="223"/>
      <c r="P151" s="223"/>
    </row>
    <row r="152" spans="1:16" ht="15">
      <c r="A152" s="234"/>
      <c r="B152" s="235"/>
      <c r="C152" s="234"/>
      <c r="D152" s="222"/>
      <c r="E152" s="223"/>
      <c r="F152" s="223"/>
      <c r="G152" s="223"/>
      <c r="H152" s="207"/>
      <c r="I152" s="207"/>
      <c r="J152" s="223"/>
      <c r="K152" s="223"/>
      <c r="L152" s="223"/>
      <c r="M152" s="223"/>
      <c r="N152" s="223"/>
      <c r="O152" s="223"/>
      <c r="P152" s="223"/>
    </row>
    <row r="153" spans="1:16" ht="15">
      <c r="A153" s="234"/>
      <c r="B153" s="235"/>
      <c r="C153" s="234"/>
      <c r="D153" s="222"/>
      <c r="E153" s="223"/>
      <c r="F153" s="223"/>
      <c r="G153" s="223"/>
      <c r="H153" s="207"/>
      <c r="I153" s="207"/>
      <c r="J153" s="223"/>
      <c r="K153" s="223"/>
      <c r="L153" s="223"/>
      <c r="M153" s="223"/>
      <c r="N153" s="223"/>
      <c r="O153" s="223"/>
      <c r="P153" s="223"/>
    </row>
    <row r="154" spans="1:16" ht="15">
      <c r="A154" s="234"/>
      <c r="B154" s="235"/>
      <c r="C154" s="234"/>
      <c r="D154" s="222"/>
      <c r="E154" s="223"/>
      <c r="F154" s="223"/>
      <c r="G154" s="223"/>
      <c r="H154" s="207"/>
      <c r="I154" s="207"/>
      <c r="J154" s="223"/>
      <c r="K154" s="223"/>
      <c r="L154" s="223"/>
      <c r="M154" s="223"/>
      <c r="N154" s="223"/>
      <c r="O154" s="223"/>
      <c r="P154" s="223"/>
    </row>
    <row r="155" spans="1:16" ht="15">
      <c r="A155" s="234"/>
      <c r="B155" s="235"/>
      <c r="C155" s="234"/>
      <c r="D155" s="222"/>
      <c r="E155" s="223"/>
      <c r="F155" s="223"/>
      <c r="G155" s="223"/>
      <c r="H155" s="207"/>
      <c r="I155" s="207"/>
      <c r="J155" s="223"/>
      <c r="K155" s="223"/>
      <c r="L155" s="223"/>
      <c r="M155" s="223"/>
      <c r="N155" s="223"/>
      <c r="O155" s="223"/>
      <c r="P155" s="223"/>
    </row>
    <row r="156" spans="1:16" ht="15">
      <c r="A156" s="234"/>
      <c r="B156" s="235"/>
      <c r="C156" s="234"/>
      <c r="D156" s="222"/>
      <c r="E156" s="223"/>
      <c r="F156" s="223"/>
      <c r="G156" s="223"/>
      <c r="H156" s="207"/>
      <c r="I156" s="207"/>
      <c r="J156" s="223"/>
      <c r="K156" s="223"/>
      <c r="L156" s="223"/>
      <c r="M156" s="223"/>
      <c r="N156" s="223"/>
      <c r="O156" s="223"/>
      <c r="P156" s="223"/>
    </row>
    <row r="157" spans="1:16" ht="15">
      <c r="A157" s="234"/>
      <c r="B157" s="235"/>
      <c r="C157" s="234"/>
      <c r="D157" s="222"/>
      <c r="E157" s="223"/>
      <c r="F157" s="223"/>
      <c r="G157" s="223"/>
      <c r="H157" s="207"/>
      <c r="I157" s="207"/>
      <c r="J157" s="223"/>
      <c r="K157" s="223"/>
      <c r="L157" s="223"/>
      <c r="M157" s="223"/>
      <c r="N157" s="223"/>
      <c r="O157" s="223"/>
      <c r="P157" s="223"/>
    </row>
    <row r="158" spans="1:16" ht="15">
      <c r="A158" s="234"/>
      <c r="B158" s="235"/>
      <c r="C158" s="234"/>
      <c r="D158" s="222"/>
      <c r="E158" s="223"/>
      <c r="F158" s="223"/>
      <c r="G158" s="223"/>
      <c r="H158" s="207"/>
      <c r="I158" s="207"/>
      <c r="J158" s="223"/>
      <c r="K158" s="223"/>
      <c r="L158" s="223"/>
      <c r="M158" s="223"/>
      <c r="N158" s="223"/>
      <c r="O158" s="223"/>
      <c r="P158" s="223"/>
    </row>
    <row r="159" spans="1:16" ht="15">
      <c r="A159" s="234"/>
      <c r="B159" s="235"/>
      <c r="C159" s="234"/>
      <c r="D159" s="222"/>
      <c r="E159" s="223"/>
      <c r="F159" s="223"/>
      <c r="G159" s="223"/>
      <c r="H159" s="207"/>
      <c r="I159" s="207"/>
      <c r="J159" s="223"/>
      <c r="K159" s="223"/>
      <c r="L159" s="223"/>
      <c r="M159" s="223"/>
      <c r="N159" s="223"/>
      <c r="O159" s="223"/>
      <c r="P159" s="223"/>
    </row>
    <row r="160" spans="1:16" ht="15">
      <c r="A160" s="234"/>
      <c r="B160" s="235"/>
      <c r="C160" s="234"/>
      <c r="D160" s="222"/>
      <c r="E160" s="223"/>
      <c r="F160" s="223"/>
      <c r="G160" s="223"/>
      <c r="H160" s="207"/>
      <c r="I160" s="207"/>
      <c r="J160" s="223"/>
      <c r="K160" s="223"/>
      <c r="L160" s="223"/>
      <c r="M160" s="223"/>
      <c r="N160" s="223"/>
      <c r="O160" s="223"/>
      <c r="P160" s="223"/>
    </row>
    <row r="161" spans="1:16" ht="15">
      <c r="A161" s="234"/>
      <c r="B161" s="235"/>
      <c r="C161" s="234"/>
      <c r="D161" s="222"/>
      <c r="E161" s="223"/>
      <c r="F161" s="223"/>
      <c r="G161" s="223"/>
      <c r="H161" s="207"/>
      <c r="I161" s="207"/>
      <c r="J161" s="223"/>
      <c r="K161" s="223"/>
      <c r="L161" s="223"/>
      <c r="M161" s="223"/>
      <c r="N161" s="223"/>
      <c r="O161" s="223"/>
      <c r="P161" s="223"/>
    </row>
  </sheetData>
  <sheetProtection selectLockedCells="1" selectUnlockedCells="1"/>
  <mergeCells count="19">
    <mergeCell ref="A7:B7"/>
    <mergeCell ref="I33:J33"/>
    <mergeCell ref="L10:P10"/>
    <mergeCell ref="C25:K25"/>
    <mergeCell ref="C26:K26"/>
    <mergeCell ref="A30:B30"/>
    <mergeCell ref="I30:J30"/>
    <mergeCell ref="C31:G31"/>
    <mergeCell ref="K31:P31"/>
    <mergeCell ref="A1:P1"/>
    <mergeCell ref="A2:P2"/>
    <mergeCell ref="M8:N8"/>
    <mergeCell ref="O8:P8"/>
    <mergeCell ref="A10:A11"/>
    <mergeCell ref="B10:B11"/>
    <mergeCell ref="C10:C11"/>
    <mergeCell ref="D10:D11"/>
    <mergeCell ref="E10:E11"/>
    <mergeCell ref="F10:K10"/>
  </mergeCells>
  <printOptions horizontalCentered="1"/>
  <pageMargins left="0.5597222222222222" right="0.44027777777777777" top="0.7" bottom="0.25" header="0.5118055555555555" footer="0.19652777777777777"/>
  <pageSetup firstPageNumber="1" useFirstPageNumber="1" fitToHeight="3" fitToWidth="1" horizontalDpi="300" verticalDpi="300" orientation="landscape" paperSize="9" scale="64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152"/>
  <sheetViews>
    <sheetView showZeros="0" view="pageBreakPreview" zoomScale="70" zoomScaleNormal="55" zoomScaleSheetLayoutView="70" zoomScalePageLayoutView="0" workbookViewId="0" topLeftCell="A1">
      <selection activeCell="A7" sqref="A7:IV7"/>
    </sheetView>
  </sheetViews>
  <sheetFormatPr defaultColWidth="37" defaultRowHeight="15.75"/>
  <cols>
    <col min="1" max="1" width="7.3984375" style="225" customWidth="1"/>
    <col min="2" max="2" width="7.8984375" style="225" customWidth="1"/>
    <col min="3" max="3" width="29.59765625" style="187" customWidth="1"/>
    <col min="4" max="4" width="6.19921875" style="227" customWidth="1"/>
    <col min="5" max="5" width="9.296875" style="225" customWidth="1"/>
    <col min="6" max="6" width="6" style="187" customWidth="1"/>
    <col min="7" max="7" width="7" style="187" customWidth="1"/>
    <col min="8" max="8" width="7.3984375" style="228" customWidth="1"/>
    <col min="9" max="9" width="9.09765625" style="228" customWidth="1"/>
    <col min="10" max="10" width="6.59765625" style="187" customWidth="1"/>
    <col min="11" max="11" width="11" style="187" customWidth="1"/>
    <col min="12" max="12" width="10.8984375" style="187" customWidth="1"/>
    <col min="13" max="13" width="11.59765625" style="187" customWidth="1"/>
    <col min="14" max="14" width="12" style="187" customWidth="1"/>
    <col min="15" max="15" width="11.3984375" style="187" customWidth="1"/>
    <col min="16" max="16" width="11.09765625" style="187" customWidth="1"/>
    <col min="17" max="34" width="11.296875" style="187" customWidth="1"/>
    <col min="35" max="16384" width="37" style="187" customWidth="1"/>
  </cols>
  <sheetData>
    <row r="1" spans="1:16" ht="19.5" customHeight="1">
      <c r="A1" s="425" t="s">
        <v>413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</row>
    <row r="2" spans="1:16" ht="19.5" customHeight="1">
      <c r="A2" s="426" t="s">
        <v>414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</row>
    <row r="3" spans="1:16" ht="19.5" customHeight="1">
      <c r="A3" s="53" t="str">
        <f>'1-3 (1)'!A3</f>
        <v>Būves nosaukums:     Tautas nama "Kalngravas" rekonstrukcija- 2. kārta </v>
      </c>
      <c r="B3" s="188"/>
      <c r="C3" s="189"/>
      <c r="D3" s="190"/>
      <c r="E3" s="190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6" ht="19.5" customHeight="1">
      <c r="A4" s="53" t="str">
        <f>'1-3 (1)'!A4</f>
        <v>Objekta nosaukums:  Tautas nama "Kalngravas" rekonstrukcija</v>
      </c>
      <c r="B4" s="188"/>
      <c r="C4" s="189"/>
      <c r="D4" s="190"/>
      <c r="E4" s="190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</row>
    <row r="5" spans="1:16" ht="19.5" customHeight="1">
      <c r="A5" s="53" t="str">
        <f>'1-3 (1)'!A5</f>
        <v>Būves adrese:  Kalngravas 1, Sarkaņu pagasts, Madonas novads</v>
      </c>
      <c r="B5" s="188"/>
      <c r="C5" s="189"/>
      <c r="D5" s="190"/>
      <c r="E5" s="190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</row>
    <row r="6" spans="1:16" ht="19.5" customHeight="1">
      <c r="A6" s="53" t="str">
        <f>'1-3 (1)'!A6</f>
        <v>Pasūtījuma Nr.: </v>
      </c>
      <c r="B6" s="188"/>
      <c r="C6" s="192" t="s">
        <v>845</v>
      </c>
      <c r="D6" s="190"/>
      <c r="E6" s="192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</row>
    <row r="7" spans="1:8" s="4" customFormat="1" ht="25.5" customHeight="1">
      <c r="A7" s="391" t="s">
        <v>852</v>
      </c>
      <c r="B7" s="391"/>
      <c r="C7" s="386"/>
      <c r="D7" s="386"/>
      <c r="E7" s="386"/>
      <c r="F7" s="386"/>
      <c r="G7" s="386"/>
      <c r="H7" s="386"/>
    </row>
    <row r="8" spans="1:16" ht="19.5" customHeight="1">
      <c r="A8" s="53" t="str">
        <f>'1-3 (1)'!A8</f>
        <v>Tāme sastādīta 2013. gada tirgus cenās, pamatojoties uz GP, AR, BK daļas rasējumiem</v>
      </c>
      <c r="B8" s="188"/>
      <c r="C8" s="189"/>
      <c r="D8" s="190"/>
      <c r="E8" s="190"/>
      <c r="F8" s="191"/>
      <c r="G8" s="191"/>
      <c r="H8" s="191"/>
      <c r="I8" s="191"/>
      <c r="J8" s="191"/>
      <c r="K8" s="191"/>
      <c r="L8" s="191"/>
      <c r="M8" s="427" t="s">
        <v>47</v>
      </c>
      <c r="N8" s="427"/>
      <c r="O8" s="428">
        <f>P17</f>
        <v>0</v>
      </c>
      <c r="P8" s="428"/>
    </row>
    <row r="9" spans="1:16" ht="15" customHeight="1">
      <c r="A9" s="193"/>
      <c r="B9" s="193"/>
      <c r="C9" s="194"/>
      <c r="D9" s="195"/>
      <c r="E9" s="196"/>
      <c r="F9" s="197"/>
      <c r="G9" s="197"/>
      <c r="H9" s="197"/>
      <c r="I9" s="197"/>
      <c r="J9" s="197"/>
      <c r="K9" s="196"/>
      <c r="L9" s="197"/>
      <c r="M9" s="197"/>
      <c r="N9" s="197"/>
      <c r="O9" s="197"/>
      <c r="P9" s="197"/>
    </row>
    <row r="10" spans="1:16" ht="19.5" customHeight="1">
      <c r="A10" s="429" t="s">
        <v>4</v>
      </c>
      <c r="B10" s="429" t="s">
        <v>48</v>
      </c>
      <c r="C10" s="430" t="s">
        <v>49</v>
      </c>
      <c r="D10" s="429" t="s">
        <v>50</v>
      </c>
      <c r="E10" s="429" t="s">
        <v>51</v>
      </c>
      <c r="F10" s="431" t="s">
        <v>52</v>
      </c>
      <c r="G10" s="431"/>
      <c r="H10" s="431"/>
      <c r="I10" s="431"/>
      <c r="J10" s="431"/>
      <c r="K10" s="431"/>
      <c r="L10" s="431" t="s">
        <v>53</v>
      </c>
      <c r="M10" s="431"/>
      <c r="N10" s="431"/>
      <c r="O10" s="431"/>
      <c r="P10" s="431"/>
    </row>
    <row r="11" spans="1:16" ht="99.75" customHeight="1">
      <c r="A11" s="429"/>
      <c r="B11" s="429"/>
      <c r="C11" s="430"/>
      <c r="D11" s="429"/>
      <c r="E11" s="429"/>
      <c r="F11" s="26" t="s">
        <v>54</v>
      </c>
      <c r="G11" s="26" t="s">
        <v>55</v>
      </c>
      <c r="H11" s="26" t="s">
        <v>56</v>
      </c>
      <c r="I11" s="26" t="s">
        <v>57</v>
      </c>
      <c r="J11" s="26" t="s">
        <v>58</v>
      </c>
      <c r="K11" s="26" t="s">
        <v>59</v>
      </c>
      <c r="L11" s="26" t="s">
        <v>60</v>
      </c>
      <c r="M11" s="26" t="s">
        <v>56</v>
      </c>
      <c r="N11" s="26" t="s">
        <v>57</v>
      </c>
      <c r="O11" s="26" t="s">
        <v>58</v>
      </c>
      <c r="P11" s="26" t="s">
        <v>61</v>
      </c>
    </row>
    <row r="12" spans="1:16" ht="28.5" customHeight="1">
      <c r="A12" s="198">
        <v>1</v>
      </c>
      <c r="B12" s="26"/>
      <c r="C12" s="199" t="s">
        <v>415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s="207" customFormat="1" ht="30" customHeight="1">
      <c r="A13" s="198">
        <v>2</v>
      </c>
      <c r="B13" s="200" t="s">
        <v>416</v>
      </c>
      <c r="C13" s="233" t="s">
        <v>417</v>
      </c>
      <c r="D13" s="202" t="s">
        <v>369</v>
      </c>
      <c r="E13" s="203">
        <v>13.3</v>
      </c>
      <c r="F13" s="204"/>
      <c r="G13" s="205"/>
      <c r="H13" s="205"/>
      <c r="I13" s="205"/>
      <c r="J13" s="205"/>
      <c r="K13" s="205"/>
      <c r="L13" s="205"/>
      <c r="M13" s="205"/>
      <c r="N13" s="205"/>
      <c r="O13" s="205"/>
      <c r="P13" s="205"/>
    </row>
    <row r="14" spans="1:16" s="207" customFormat="1" ht="30" customHeight="1">
      <c r="A14" s="198">
        <v>3</v>
      </c>
      <c r="B14" s="200" t="s">
        <v>418</v>
      </c>
      <c r="C14" s="237" t="s">
        <v>419</v>
      </c>
      <c r="D14" s="202" t="s">
        <v>420</v>
      </c>
      <c r="E14" s="203">
        <v>6.7</v>
      </c>
      <c r="F14" s="204"/>
      <c r="G14" s="205"/>
      <c r="H14" s="205"/>
      <c r="I14" s="206"/>
      <c r="J14" s="205"/>
      <c r="K14" s="205"/>
      <c r="L14" s="205"/>
      <c r="M14" s="205"/>
      <c r="N14" s="205"/>
      <c r="O14" s="205"/>
      <c r="P14" s="205"/>
    </row>
    <row r="15" spans="1:18" s="207" customFormat="1" ht="30" customHeight="1">
      <c r="A15" s="209"/>
      <c r="B15" s="209"/>
      <c r="C15" s="28" t="s">
        <v>7</v>
      </c>
      <c r="D15" s="28"/>
      <c r="E15" s="28"/>
      <c r="F15" s="28"/>
      <c r="G15" s="28"/>
      <c r="H15" s="28"/>
      <c r="I15" s="28"/>
      <c r="J15" s="28"/>
      <c r="K15" s="28"/>
      <c r="L15" s="238"/>
      <c r="M15" s="238"/>
      <c r="N15" s="238"/>
      <c r="O15" s="238"/>
      <c r="P15" s="238"/>
      <c r="R15" s="210"/>
    </row>
    <row r="16" spans="1:16" s="207" customFormat="1" ht="30" customHeight="1">
      <c r="A16" s="211"/>
      <c r="B16" s="211"/>
      <c r="C16" s="418" t="s">
        <v>849</v>
      </c>
      <c r="D16" s="418"/>
      <c r="E16" s="418"/>
      <c r="F16" s="418"/>
      <c r="G16" s="418"/>
      <c r="H16" s="418"/>
      <c r="I16" s="418"/>
      <c r="J16" s="418"/>
      <c r="K16" s="418"/>
      <c r="L16" s="30"/>
      <c r="M16" s="30"/>
      <c r="N16" s="30"/>
      <c r="O16" s="30"/>
      <c r="P16" s="238"/>
    </row>
    <row r="17" spans="1:18" s="207" customFormat="1" ht="30" customHeight="1">
      <c r="A17" s="211"/>
      <c r="B17" s="211"/>
      <c r="C17" s="433" t="s">
        <v>71</v>
      </c>
      <c r="D17" s="433"/>
      <c r="E17" s="433"/>
      <c r="F17" s="433"/>
      <c r="G17" s="433"/>
      <c r="H17" s="433"/>
      <c r="I17" s="433"/>
      <c r="J17" s="433"/>
      <c r="K17" s="433"/>
      <c r="L17" s="30"/>
      <c r="M17" s="30"/>
      <c r="N17" s="30"/>
      <c r="O17" s="30"/>
      <c r="P17" s="238"/>
      <c r="R17" s="212"/>
    </row>
    <row r="18" spans="1:16" ht="12.75">
      <c r="A18" s="213"/>
      <c r="B18" s="213"/>
      <c r="C18" s="213"/>
      <c r="D18" s="215"/>
      <c r="E18" s="216"/>
      <c r="F18" s="216"/>
      <c r="G18" s="216"/>
      <c r="H18" s="187"/>
      <c r="I18" s="187"/>
      <c r="J18" s="216"/>
      <c r="K18" s="216"/>
      <c r="L18" s="216"/>
      <c r="M18" s="216"/>
      <c r="N18" s="216"/>
      <c r="O18" s="216"/>
      <c r="P18" s="216"/>
    </row>
    <row r="19" spans="1:16" ht="12.75">
      <c r="A19" s="213"/>
      <c r="B19" s="213"/>
      <c r="C19" s="213"/>
      <c r="D19" s="215"/>
      <c r="E19" s="216"/>
      <c r="F19" s="216"/>
      <c r="G19" s="216"/>
      <c r="H19" s="187"/>
      <c r="I19" s="187"/>
      <c r="J19" s="216"/>
      <c r="K19" s="216"/>
      <c r="L19" s="216"/>
      <c r="M19" s="216"/>
      <c r="N19" s="216"/>
      <c r="O19" s="216"/>
      <c r="P19" s="216"/>
    </row>
    <row r="20" spans="1:16" ht="12.75">
      <c r="A20" s="213"/>
      <c r="B20" s="213"/>
      <c r="C20" s="213"/>
      <c r="D20" s="215"/>
      <c r="E20" s="216"/>
      <c r="F20" s="216"/>
      <c r="G20" s="216"/>
      <c r="H20" s="187"/>
      <c r="I20" s="187"/>
      <c r="J20" s="216"/>
      <c r="K20" s="216"/>
      <c r="L20" s="216"/>
      <c r="M20" s="216"/>
      <c r="N20" s="216"/>
      <c r="O20" s="216"/>
      <c r="P20" s="216"/>
    </row>
    <row r="21" spans="1:16" s="207" customFormat="1" ht="20.25" customHeight="1">
      <c r="A21" s="432" t="s">
        <v>9</v>
      </c>
      <c r="B21" s="432"/>
      <c r="C21" s="218"/>
      <c r="E21" s="219">
        <f>'1-1 (1)'!E21</f>
        <v>0</v>
      </c>
      <c r="F21" s="220"/>
      <c r="G21" s="220"/>
      <c r="H21" s="221"/>
      <c r="I21" s="434" t="s">
        <v>72</v>
      </c>
      <c r="J21" s="434"/>
      <c r="K21" s="220"/>
      <c r="L21" s="220"/>
      <c r="M21" s="220"/>
      <c r="N21" s="219">
        <f>'1-1 (1)'!N21</f>
        <v>0</v>
      </c>
      <c r="O21" s="220"/>
      <c r="P21" s="220"/>
    </row>
    <row r="22" spans="1:16" s="207" customFormat="1" ht="12.75" customHeight="1">
      <c r="A22" s="217"/>
      <c r="B22" s="217"/>
      <c r="C22" s="435" t="s">
        <v>10</v>
      </c>
      <c r="D22" s="435"/>
      <c r="E22" s="435"/>
      <c r="F22" s="435"/>
      <c r="G22" s="435"/>
      <c r="I22" s="190"/>
      <c r="J22" s="190"/>
      <c r="K22" s="436" t="s">
        <v>10</v>
      </c>
      <c r="L22" s="436"/>
      <c r="M22" s="436"/>
      <c r="N22" s="436"/>
      <c r="O22" s="436"/>
      <c r="P22" s="436"/>
    </row>
    <row r="23" spans="1:16" s="207" customFormat="1" ht="15">
      <c r="A23" s="217"/>
      <c r="B23" s="217"/>
      <c r="C23" s="217"/>
      <c r="D23" s="222"/>
      <c r="E23" s="223"/>
      <c r="F23" s="223"/>
      <c r="G23" s="223"/>
      <c r="J23" s="223"/>
      <c r="K23" s="223"/>
      <c r="L23" s="223"/>
      <c r="M23" s="223"/>
      <c r="N23" s="223"/>
      <c r="O23" s="223"/>
      <c r="P23" s="223"/>
    </row>
    <row r="24" spans="1:16" s="207" customFormat="1" ht="21.75" customHeight="1">
      <c r="A24" s="87"/>
      <c r="B24" s="217"/>
      <c r="C24" s="87"/>
      <c r="D24" s="224"/>
      <c r="E24" s="223"/>
      <c r="F24" s="223"/>
      <c r="G24" s="223"/>
      <c r="I24" s="432" t="s">
        <v>11</v>
      </c>
      <c r="J24" s="432"/>
      <c r="K24" s="218">
        <f>'1-1 (1)'!K24</f>
        <v>0</v>
      </c>
      <c r="L24" s="223"/>
      <c r="M24" s="223"/>
      <c r="N24" s="223"/>
      <c r="O24" s="223"/>
      <c r="P24" s="223"/>
    </row>
    <row r="25" spans="1:16" ht="12.75">
      <c r="A25" s="213"/>
      <c r="B25" s="213"/>
      <c r="C25" s="213"/>
      <c r="D25" s="215"/>
      <c r="E25" s="216"/>
      <c r="F25" s="216"/>
      <c r="G25" s="216"/>
      <c r="H25" s="187"/>
      <c r="I25" s="187"/>
      <c r="J25" s="216"/>
      <c r="K25" s="216"/>
      <c r="L25" s="216"/>
      <c r="M25" s="216"/>
      <c r="N25" s="216"/>
      <c r="O25" s="216"/>
      <c r="P25" s="216"/>
    </row>
    <row r="26" spans="1:16" ht="12.75">
      <c r="A26" s="213"/>
      <c r="B26" s="213"/>
      <c r="C26" s="213"/>
      <c r="D26" s="215"/>
      <c r="E26" s="216"/>
      <c r="F26" s="216"/>
      <c r="G26" s="216"/>
      <c r="H26" s="187"/>
      <c r="I26" s="187"/>
      <c r="J26" s="216"/>
      <c r="K26" s="216"/>
      <c r="L26" s="216"/>
      <c r="M26" s="216"/>
      <c r="N26" s="216"/>
      <c r="O26" s="216"/>
      <c r="P26" s="216"/>
    </row>
    <row r="27" spans="1:16" ht="12.75">
      <c r="A27" s="213"/>
      <c r="B27" s="213"/>
      <c r="C27" s="213"/>
      <c r="D27" s="215"/>
      <c r="E27" s="216"/>
      <c r="F27" s="216"/>
      <c r="G27" s="216"/>
      <c r="H27" s="187"/>
      <c r="I27" s="187"/>
      <c r="J27" s="216"/>
      <c r="K27" s="216"/>
      <c r="L27" s="216"/>
      <c r="M27" s="216"/>
      <c r="N27" s="216"/>
      <c r="O27" s="216"/>
      <c r="P27" s="216"/>
    </row>
    <row r="28" spans="1:16" ht="12.75">
      <c r="A28" s="213"/>
      <c r="B28" s="213"/>
      <c r="C28" s="213"/>
      <c r="D28" s="215"/>
      <c r="E28" s="216"/>
      <c r="F28" s="216"/>
      <c r="G28" s="216"/>
      <c r="H28" s="187"/>
      <c r="I28" s="187"/>
      <c r="J28" s="216"/>
      <c r="K28" s="216"/>
      <c r="L28" s="216"/>
      <c r="M28" s="216"/>
      <c r="N28" s="216"/>
      <c r="O28" s="216"/>
      <c r="P28" s="216"/>
    </row>
    <row r="29" spans="1:16" ht="12.75">
      <c r="A29" s="213"/>
      <c r="B29" s="213"/>
      <c r="C29" s="213"/>
      <c r="D29" s="215"/>
      <c r="E29" s="216"/>
      <c r="F29" s="216"/>
      <c r="G29" s="216"/>
      <c r="H29" s="187"/>
      <c r="I29" s="187"/>
      <c r="J29" s="216"/>
      <c r="K29" s="216"/>
      <c r="L29" s="216"/>
      <c r="M29" s="216"/>
      <c r="N29" s="216"/>
      <c r="O29" s="216"/>
      <c r="P29" s="216"/>
    </row>
    <row r="30" spans="1:16" ht="12.75">
      <c r="A30" s="213"/>
      <c r="B30" s="213"/>
      <c r="C30" s="213"/>
      <c r="D30" s="215"/>
      <c r="E30" s="216"/>
      <c r="F30" s="216"/>
      <c r="G30" s="216"/>
      <c r="H30" s="187"/>
      <c r="I30" s="187"/>
      <c r="J30" s="216"/>
      <c r="K30" s="216"/>
      <c r="L30" s="216"/>
      <c r="M30" s="216"/>
      <c r="N30" s="216"/>
      <c r="O30" s="216"/>
      <c r="P30" s="216"/>
    </row>
    <row r="31" spans="1:16" ht="12.75">
      <c r="A31" s="213"/>
      <c r="B31" s="213"/>
      <c r="C31" s="213"/>
      <c r="D31" s="215"/>
      <c r="E31" s="216"/>
      <c r="F31" s="216"/>
      <c r="G31" s="216"/>
      <c r="H31" s="187"/>
      <c r="I31" s="187"/>
      <c r="J31" s="216"/>
      <c r="K31" s="216"/>
      <c r="L31" s="216"/>
      <c r="M31" s="216"/>
      <c r="N31" s="216"/>
      <c r="O31" s="216"/>
      <c r="P31" s="216"/>
    </row>
    <row r="32" spans="1:16" ht="12.75">
      <c r="A32" s="213"/>
      <c r="B32" s="213"/>
      <c r="C32" s="213"/>
      <c r="D32" s="215"/>
      <c r="E32" s="216"/>
      <c r="F32" s="216"/>
      <c r="G32" s="216"/>
      <c r="H32" s="187"/>
      <c r="I32" s="187"/>
      <c r="J32" s="216"/>
      <c r="K32" s="216"/>
      <c r="L32" s="216"/>
      <c r="M32" s="216"/>
      <c r="N32" s="216"/>
      <c r="O32" s="216"/>
      <c r="P32" s="216"/>
    </row>
    <row r="33" spans="1:16" ht="12.75">
      <c r="A33" s="213"/>
      <c r="B33" s="213"/>
      <c r="C33" s="213"/>
      <c r="D33" s="215"/>
      <c r="E33" s="216"/>
      <c r="F33" s="216"/>
      <c r="G33" s="216"/>
      <c r="H33" s="187"/>
      <c r="I33" s="187"/>
      <c r="J33" s="216"/>
      <c r="K33" s="216"/>
      <c r="L33" s="216"/>
      <c r="M33" s="216"/>
      <c r="N33" s="216"/>
      <c r="O33" s="216"/>
      <c r="P33" s="216"/>
    </row>
    <row r="34" spans="1:16" ht="12.75">
      <c r="A34" s="213"/>
      <c r="B34" s="213"/>
      <c r="C34" s="213"/>
      <c r="D34" s="215"/>
      <c r="E34" s="216"/>
      <c r="F34" s="216"/>
      <c r="G34" s="216"/>
      <c r="H34" s="187"/>
      <c r="I34" s="187"/>
      <c r="J34" s="216"/>
      <c r="K34" s="216"/>
      <c r="L34" s="216"/>
      <c r="M34" s="216"/>
      <c r="N34" s="216"/>
      <c r="O34" s="216"/>
      <c r="P34" s="216"/>
    </row>
    <row r="35" spans="1:16" ht="12.75">
      <c r="A35" s="213"/>
      <c r="B35" s="213"/>
      <c r="C35" s="213"/>
      <c r="D35" s="215"/>
      <c r="E35" s="216"/>
      <c r="F35" s="216"/>
      <c r="G35" s="216"/>
      <c r="H35" s="187"/>
      <c r="I35" s="187"/>
      <c r="J35" s="216"/>
      <c r="K35" s="216"/>
      <c r="L35" s="216"/>
      <c r="M35" s="216"/>
      <c r="N35" s="216"/>
      <c r="O35" s="216"/>
      <c r="P35" s="216"/>
    </row>
    <row r="36" spans="1:16" ht="12.75">
      <c r="A36" s="213"/>
      <c r="B36" s="213"/>
      <c r="C36" s="213"/>
      <c r="D36" s="215"/>
      <c r="E36" s="216"/>
      <c r="F36" s="216"/>
      <c r="G36" s="216"/>
      <c r="H36" s="187"/>
      <c r="I36" s="187"/>
      <c r="J36" s="216"/>
      <c r="K36" s="216"/>
      <c r="L36" s="216"/>
      <c r="M36" s="216"/>
      <c r="N36" s="216"/>
      <c r="O36" s="216"/>
      <c r="P36" s="216"/>
    </row>
    <row r="37" spans="1:16" ht="12.75">
      <c r="A37" s="213"/>
      <c r="B37" s="213"/>
      <c r="C37" s="213"/>
      <c r="D37" s="215"/>
      <c r="E37" s="216"/>
      <c r="F37" s="216"/>
      <c r="G37" s="216"/>
      <c r="H37" s="187"/>
      <c r="I37" s="187"/>
      <c r="J37" s="216"/>
      <c r="K37" s="216"/>
      <c r="L37" s="216"/>
      <c r="M37" s="216"/>
      <c r="N37" s="216"/>
      <c r="O37" s="216"/>
      <c r="P37" s="216"/>
    </row>
    <row r="38" spans="1:16" ht="12.75">
      <c r="A38" s="213"/>
      <c r="B38" s="213"/>
      <c r="C38" s="213"/>
      <c r="D38" s="215"/>
      <c r="E38" s="216"/>
      <c r="F38" s="216"/>
      <c r="G38" s="216"/>
      <c r="H38" s="187"/>
      <c r="I38" s="187"/>
      <c r="J38" s="216"/>
      <c r="K38" s="216"/>
      <c r="L38" s="216"/>
      <c r="M38" s="216"/>
      <c r="N38" s="216"/>
      <c r="O38" s="216"/>
      <c r="P38" s="216"/>
    </row>
    <row r="39" spans="1:16" ht="12.75">
      <c r="A39" s="213"/>
      <c r="B39" s="213"/>
      <c r="C39" s="213"/>
      <c r="D39" s="215"/>
      <c r="E39" s="216"/>
      <c r="F39" s="216"/>
      <c r="G39" s="216"/>
      <c r="H39" s="187"/>
      <c r="I39" s="187"/>
      <c r="J39" s="216"/>
      <c r="K39" s="216"/>
      <c r="L39" s="216"/>
      <c r="M39" s="216"/>
      <c r="N39" s="216"/>
      <c r="O39" s="216"/>
      <c r="P39" s="216"/>
    </row>
    <row r="40" spans="1:16" ht="12.75">
      <c r="A40" s="213"/>
      <c r="B40" s="213"/>
      <c r="C40" s="213"/>
      <c r="D40" s="215"/>
      <c r="E40" s="216"/>
      <c r="F40" s="216"/>
      <c r="G40" s="216"/>
      <c r="H40" s="187"/>
      <c r="I40" s="187"/>
      <c r="J40" s="216"/>
      <c r="K40" s="216"/>
      <c r="L40" s="216"/>
      <c r="M40" s="216"/>
      <c r="N40" s="216"/>
      <c r="O40" s="216"/>
      <c r="P40" s="216"/>
    </row>
    <row r="41" spans="1:16" ht="12.75">
      <c r="A41" s="213"/>
      <c r="B41" s="213"/>
      <c r="C41" s="213"/>
      <c r="D41" s="215"/>
      <c r="E41" s="216"/>
      <c r="F41" s="216"/>
      <c r="G41" s="216"/>
      <c r="H41" s="187"/>
      <c r="I41" s="187"/>
      <c r="J41" s="216"/>
      <c r="K41" s="216"/>
      <c r="L41" s="216"/>
      <c r="M41" s="216"/>
      <c r="N41" s="216"/>
      <c r="O41" s="216"/>
      <c r="P41" s="216"/>
    </row>
    <row r="42" spans="1:16" ht="12.75">
      <c r="A42" s="213"/>
      <c r="B42" s="213"/>
      <c r="C42" s="213"/>
      <c r="D42" s="215"/>
      <c r="E42" s="216"/>
      <c r="F42" s="216"/>
      <c r="G42" s="216"/>
      <c r="H42" s="187"/>
      <c r="I42" s="187"/>
      <c r="J42" s="216"/>
      <c r="K42" s="216"/>
      <c r="L42" s="216"/>
      <c r="M42" s="216"/>
      <c r="N42" s="216"/>
      <c r="O42" s="216"/>
      <c r="P42" s="216"/>
    </row>
    <row r="43" spans="1:16" ht="12.75">
      <c r="A43" s="213"/>
      <c r="B43" s="213"/>
      <c r="C43" s="213"/>
      <c r="D43" s="215"/>
      <c r="E43" s="216"/>
      <c r="F43" s="216"/>
      <c r="G43" s="216"/>
      <c r="H43" s="187"/>
      <c r="I43" s="187"/>
      <c r="J43" s="216"/>
      <c r="K43" s="216"/>
      <c r="L43" s="216"/>
      <c r="M43" s="216"/>
      <c r="N43" s="216"/>
      <c r="O43" s="216"/>
      <c r="P43" s="216"/>
    </row>
    <row r="44" spans="1:16" ht="12.75">
      <c r="A44" s="213"/>
      <c r="B44" s="213"/>
      <c r="C44" s="213"/>
      <c r="D44" s="215"/>
      <c r="E44" s="216"/>
      <c r="F44" s="216"/>
      <c r="G44" s="216"/>
      <c r="H44" s="187"/>
      <c r="I44" s="187"/>
      <c r="J44" s="216"/>
      <c r="K44" s="216"/>
      <c r="L44" s="216"/>
      <c r="M44" s="216"/>
      <c r="N44" s="216"/>
      <c r="O44" s="216"/>
      <c r="P44" s="216"/>
    </row>
    <row r="45" spans="1:16" ht="12.75">
      <c r="A45" s="213"/>
      <c r="B45" s="213"/>
      <c r="C45" s="213"/>
      <c r="D45" s="215"/>
      <c r="E45" s="216"/>
      <c r="F45" s="216"/>
      <c r="G45" s="216"/>
      <c r="H45" s="187"/>
      <c r="I45" s="187"/>
      <c r="J45" s="216"/>
      <c r="K45" s="216"/>
      <c r="L45" s="216"/>
      <c r="M45" s="216"/>
      <c r="N45" s="216"/>
      <c r="O45" s="216"/>
      <c r="P45" s="216"/>
    </row>
    <row r="46" spans="1:16" ht="12.75">
      <c r="A46" s="213"/>
      <c r="B46" s="213"/>
      <c r="C46" s="213"/>
      <c r="D46" s="215"/>
      <c r="E46" s="216"/>
      <c r="F46" s="216"/>
      <c r="G46" s="216"/>
      <c r="H46" s="187"/>
      <c r="I46" s="187"/>
      <c r="J46" s="216"/>
      <c r="K46" s="216"/>
      <c r="L46" s="216"/>
      <c r="M46" s="216"/>
      <c r="N46" s="216"/>
      <c r="O46" s="216"/>
      <c r="P46" s="216"/>
    </row>
    <row r="47" spans="1:16" ht="12.75">
      <c r="A47" s="213"/>
      <c r="B47" s="213"/>
      <c r="C47" s="213"/>
      <c r="D47" s="215"/>
      <c r="E47" s="216"/>
      <c r="F47" s="216"/>
      <c r="G47" s="216"/>
      <c r="H47" s="187"/>
      <c r="I47" s="187"/>
      <c r="J47" s="216"/>
      <c r="K47" s="216"/>
      <c r="L47" s="216"/>
      <c r="M47" s="216"/>
      <c r="N47" s="216"/>
      <c r="O47" s="216"/>
      <c r="P47" s="216"/>
    </row>
    <row r="48" spans="1:16" ht="12.75">
      <c r="A48" s="213"/>
      <c r="B48" s="213"/>
      <c r="C48" s="213"/>
      <c r="D48" s="215"/>
      <c r="E48" s="216"/>
      <c r="F48" s="216"/>
      <c r="G48" s="216"/>
      <c r="H48" s="187"/>
      <c r="I48" s="187"/>
      <c r="J48" s="216"/>
      <c r="K48" s="216"/>
      <c r="L48" s="216"/>
      <c r="M48" s="216"/>
      <c r="N48" s="216"/>
      <c r="O48" s="216"/>
      <c r="P48" s="216"/>
    </row>
    <row r="49" spans="1:16" ht="12.75">
      <c r="A49" s="213"/>
      <c r="B49" s="213"/>
      <c r="C49" s="213"/>
      <c r="D49" s="215"/>
      <c r="E49" s="216"/>
      <c r="F49" s="216"/>
      <c r="G49" s="216"/>
      <c r="H49" s="187"/>
      <c r="I49" s="187"/>
      <c r="J49" s="216"/>
      <c r="K49" s="216"/>
      <c r="L49" s="216"/>
      <c r="M49" s="216"/>
      <c r="N49" s="216"/>
      <c r="O49" s="216"/>
      <c r="P49" s="216"/>
    </row>
    <row r="50" spans="1:16" ht="12.75">
      <c r="A50" s="213"/>
      <c r="B50" s="213"/>
      <c r="C50" s="213"/>
      <c r="D50" s="215"/>
      <c r="E50" s="216"/>
      <c r="F50" s="216"/>
      <c r="G50" s="216"/>
      <c r="H50" s="187"/>
      <c r="I50" s="187"/>
      <c r="J50" s="216"/>
      <c r="K50" s="216"/>
      <c r="L50" s="216"/>
      <c r="M50" s="216"/>
      <c r="N50" s="216"/>
      <c r="O50" s="216"/>
      <c r="P50" s="216"/>
    </row>
    <row r="51" spans="1:16" ht="12.75">
      <c r="A51" s="213"/>
      <c r="B51" s="213"/>
      <c r="C51" s="213"/>
      <c r="D51" s="215"/>
      <c r="E51" s="216"/>
      <c r="F51" s="216"/>
      <c r="G51" s="216"/>
      <c r="H51" s="187"/>
      <c r="I51" s="187"/>
      <c r="J51" s="216"/>
      <c r="K51" s="216"/>
      <c r="L51" s="216"/>
      <c r="M51" s="216"/>
      <c r="N51" s="216"/>
      <c r="O51" s="216"/>
      <c r="P51" s="216"/>
    </row>
    <row r="52" spans="1:16" ht="12.75">
      <c r="A52" s="213"/>
      <c r="B52" s="213"/>
      <c r="C52" s="213"/>
      <c r="D52" s="215"/>
      <c r="E52" s="216"/>
      <c r="F52" s="216"/>
      <c r="G52" s="216"/>
      <c r="H52" s="187"/>
      <c r="I52" s="187"/>
      <c r="J52" s="216"/>
      <c r="K52" s="216"/>
      <c r="L52" s="216"/>
      <c r="M52" s="216"/>
      <c r="N52" s="216"/>
      <c r="O52" s="216"/>
      <c r="P52" s="216"/>
    </row>
    <row r="53" spans="1:16" ht="12.75">
      <c r="A53" s="213"/>
      <c r="B53" s="213"/>
      <c r="C53" s="213"/>
      <c r="D53" s="215"/>
      <c r="E53" s="216"/>
      <c r="F53" s="216"/>
      <c r="G53" s="216"/>
      <c r="H53" s="187"/>
      <c r="I53" s="187"/>
      <c r="J53" s="216"/>
      <c r="K53" s="216"/>
      <c r="L53" s="216"/>
      <c r="M53" s="216"/>
      <c r="N53" s="216"/>
      <c r="O53" s="216"/>
      <c r="P53" s="216"/>
    </row>
    <row r="54" spans="1:16" ht="12.75">
      <c r="A54" s="213"/>
      <c r="B54" s="213"/>
      <c r="C54" s="213"/>
      <c r="D54" s="215"/>
      <c r="E54" s="216"/>
      <c r="F54" s="216"/>
      <c r="G54" s="216"/>
      <c r="H54" s="187"/>
      <c r="I54" s="187"/>
      <c r="J54" s="216"/>
      <c r="K54" s="216"/>
      <c r="L54" s="216"/>
      <c r="M54" s="216"/>
      <c r="N54" s="216"/>
      <c r="O54" s="216"/>
      <c r="P54" s="216"/>
    </row>
    <row r="55" spans="1:16" ht="12.75">
      <c r="A55" s="213"/>
      <c r="B55" s="213"/>
      <c r="C55" s="213"/>
      <c r="D55" s="215"/>
      <c r="E55" s="216"/>
      <c r="F55" s="216"/>
      <c r="G55" s="216"/>
      <c r="H55" s="187"/>
      <c r="I55" s="187"/>
      <c r="J55" s="216"/>
      <c r="K55" s="216"/>
      <c r="L55" s="216"/>
      <c r="M55" s="216"/>
      <c r="N55" s="216"/>
      <c r="O55" s="216"/>
      <c r="P55" s="216"/>
    </row>
    <row r="56" spans="1:16" ht="12.75">
      <c r="A56" s="213"/>
      <c r="B56" s="213"/>
      <c r="C56" s="213"/>
      <c r="D56" s="215"/>
      <c r="E56" s="216"/>
      <c r="F56" s="216"/>
      <c r="G56" s="216"/>
      <c r="H56" s="187"/>
      <c r="I56" s="187"/>
      <c r="J56" s="216"/>
      <c r="K56" s="216"/>
      <c r="L56" s="216"/>
      <c r="M56" s="216"/>
      <c r="N56" s="216"/>
      <c r="O56" s="216"/>
      <c r="P56" s="216"/>
    </row>
    <row r="57" spans="1:16" ht="12.75">
      <c r="A57" s="213"/>
      <c r="B57" s="213"/>
      <c r="C57" s="213"/>
      <c r="D57" s="215"/>
      <c r="E57" s="216"/>
      <c r="F57" s="216"/>
      <c r="G57" s="216"/>
      <c r="H57" s="187"/>
      <c r="I57" s="187"/>
      <c r="J57" s="216"/>
      <c r="K57" s="216"/>
      <c r="L57" s="216"/>
      <c r="M57" s="216"/>
      <c r="N57" s="216"/>
      <c r="O57" s="216"/>
      <c r="P57" s="216"/>
    </row>
    <row r="58" spans="1:16" ht="12.75">
      <c r="A58" s="213"/>
      <c r="B58" s="213"/>
      <c r="C58" s="213"/>
      <c r="D58" s="215"/>
      <c r="E58" s="216"/>
      <c r="F58" s="216"/>
      <c r="G58" s="216"/>
      <c r="H58" s="187"/>
      <c r="I58" s="187"/>
      <c r="J58" s="216"/>
      <c r="K58" s="216"/>
      <c r="L58" s="216"/>
      <c r="M58" s="216"/>
      <c r="N58" s="216"/>
      <c r="O58" s="216"/>
      <c r="P58" s="216"/>
    </row>
    <row r="59" spans="1:16" ht="12.75">
      <c r="A59" s="213"/>
      <c r="B59" s="213"/>
      <c r="C59" s="213"/>
      <c r="D59" s="215"/>
      <c r="E59" s="216"/>
      <c r="F59" s="216"/>
      <c r="G59" s="216"/>
      <c r="H59" s="187"/>
      <c r="I59" s="187"/>
      <c r="J59" s="216"/>
      <c r="K59" s="216"/>
      <c r="L59" s="216"/>
      <c r="M59" s="216"/>
      <c r="N59" s="216"/>
      <c r="O59" s="216"/>
      <c r="P59" s="216"/>
    </row>
    <row r="60" spans="1:16" ht="12.75">
      <c r="A60" s="213"/>
      <c r="B60" s="213"/>
      <c r="C60" s="213"/>
      <c r="D60" s="215"/>
      <c r="E60" s="216"/>
      <c r="F60" s="216"/>
      <c r="G60" s="216"/>
      <c r="H60" s="187"/>
      <c r="I60" s="187"/>
      <c r="J60" s="216"/>
      <c r="K60" s="216"/>
      <c r="L60" s="216"/>
      <c r="M60" s="216"/>
      <c r="N60" s="216"/>
      <c r="O60" s="216"/>
      <c r="P60" s="216"/>
    </row>
    <row r="61" spans="1:16" ht="12.75">
      <c r="A61" s="213"/>
      <c r="B61" s="213"/>
      <c r="C61" s="213"/>
      <c r="D61" s="215"/>
      <c r="E61" s="216"/>
      <c r="F61" s="216"/>
      <c r="G61" s="216"/>
      <c r="H61" s="187"/>
      <c r="I61" s="187"/>
      <c r="J61" s="216"/>
      <c r="K61" s="216"/>
      <c r="L61" s="216"/>
      <c r="M61" s="216"/>
      <c r="N61" s="216"/>
      <c r="O61" s="216"/>
      <c r="P61" s="216"/>
    </row>
    <row r="62" spans="1:16" ht="12.75">
      <c r="A62" s="213"/>
      <c r="B62" s="213"/>
      <c r="C62" s="213"/>
      <c r="D62" s="215"/>
      <c r="E62" s="216"/>
      <c r="F62" s="216"/>
      <c r="G62" s="216"/>
      <c r="H62" s="187"/>
      <c r="I62" s="187"/>
      <c r="J62" s="216"/>
      <c r="K62" s="216"/>
      <c r="L62" s="216"/>
      <c r="M62" s="216"/>
      <c r="N62" s="216"/>
      <c r="O62" s="216"/>
      <c r="P62" s="216"/>
    </row>
    <row r="63" spans="1:16" ht="12.75">
      <c r="A63" s="213"/>
      <c r="B63" s="213"/>
      <c r="C63" s="213"/>
      <c r="D63" s="215"/>
      <c r="E63" s="216"/>
      <c r="F63" s="216"/>
      <c r="G63" s="216"/>
      <c r="H63" s="187"/>
      <c r="I63" s="187"/>
      <c r="J63" s="216"/>
      <c r="K63" s="216"/>
      <c r="L63" s="216"/>
      <c r="M63" s="216"/>
      <c r="N63" s="216"/>
      <c r="O63" s="216"/>
      <c r="P63" s="216"/>
    </row>
    <row r="64" spans="1:16" ht="12.75">
      <c r="A64" s="213"/>
      <c r="B64" s="213"/>
      <c r="C64" s="213"/>
      <c r="D64" s="215"/>
      <c r="E64" s="216"/>
      <c r="F64" s="216"/>
      <c r="G64" s="216"/>
      <c r="H64" s="187"/>
      <c r="I64" s="187"/>
      <c r="J64" s="216"/>
      <c r="K64" s="216"/>
      <c r="L64" s="216"/>
      <c r="M64" s="216"/>
      <c r="N64" s="216"/>
      <c r="O64" s="216"/>
      <c r="P64" s="216"/>
    </row>
    <row r="65" spans="1:16" ht="12.75">
      <c r="A65" s="213"/>
      <c r="B65" s="213"/>
      <c r="C65" s="213"/>
      <c r="D65" s="215"/>
      <c r="E65" s="216"/>
      <c r="F65" s="216"/>
      <c r="G65" s="216"/>
      <c r="H65" s="187"/>
      <c r="I65" s="187"/>
      <c r="J65" s="216"/>
      <c r="K65" s="216"/>
      <c r="L65" s="216"/>
      <c r="M65" s="216"/>
      <c r="N65" s="216"/>
      <c r="O65" s="216"/>
      <c r="P65" s="216"/>
    </row>
    <row r="66" spans="1:16" ht="12.75">
      <c r="A66" s="213"/>
      <c r="B66" s="213"/>
      <c r="C66" s="213"/>
      <c r="D66" s="215"/>
      <c r="E66" s="216"/>
      <c r="F66" s="216"/>
      <c r="G66" s="216"/>
      <c r="H66" s="187"/>
      <c r="I66" s="187"/>
      <c r="J66" s="216"/>
      <c r="K66" s="216"/>
      <c r="L66" s="216"/>
      <c r="M66" s="216"/>
      <c r="N66" s="216"/>
      <c r="O66" s="216"/>
      <c r="P66" s="216"/>
    </row>
    <row r="67" spans="1:16" ht="12.75">
      <c r="A67" s="213"/>
      <c r="B67" s="213"/>
      <c r="C67" s="213"/>
      <c r="D67" s="215"/>
      <c r="E67" s="216"/>
      <c r="F67" s="216"/>
      <c r="G67" s="216"/>
      <c r="H67" s="187"/>
      <c r="I67" s="187"/>
      <c r="J67" s="216"/>
      <c r="K67" s="216"/>
      <c r="L67" s="216"/>
      <c r="M67" s="216"/>
      <c r="N67" s="216"/>
      <c r="O67" s="216"/>
      <c r="P67" s="216"/>
    </row>
    <row r="68" spans="1:16" ht="12.75">
      <c r="A68" s="213"/>
      <c r="B68" s="213"/>
      <c r="C68" s="213"/>
      <c r="D68" s="215"/>
      <c r="E68" s="216"/>
      <c r="F68" s="216"/>
      <c r="G68" s="216"/>
      <c r="H68" s="187"/>
      <c r="I68" s="187"/>
      <c r="J68" s="216"/>
      <c r="K68" s="216"/>
      <c r="L68" s="216"/>
      <c r="M68" s="216"/>
      <c r="N68" s="216"/>
      <c r="O68" s="216"/>
      <c r="P68" s="216"/>
    </row>
    <row r="69" spans="1:16" ht="12.75">
      <c r="A69" s="213"/>
      <c r="B69" s="213"/>
      <c r="C69" s="213"/>
      <c r="D69" s="215"/>
      <c r="E69" s="216"/>
      <c r="F69" s="216"/>
      <c r="G69" s="216"/>
      <c r="H69" s="187"/>
      <c r="I69" s="187"/>
      <c r="J69" s="216"/>
      <c r="K69" s="216"/>
      <c r="L69" s="216"/>
      <c r="M69" s="216"/>
      <c r="N69" s="216"/>
      <c r="O69" s="216"/>
      <c r="P69" s="216"/>
    </row>
    <row r="70" spans="1:16" ht="12.75">
      <c r="A70" s="213"/>
      <c r="B70" s="213"/>
      <c r="C70" s="213"/>
      <c r="D70" s="215"/>
      <c r="E70" s="216"/>
      <c r="F70" s="216"/>
      <c r="G70" s="216"/>
      <c r="H70" s="187"/>
      <c r="I70" s="187"/>
      <c r="J70" s="216"/>
      <c r="K70" s="216"/>
      <c r="L70" s="216"/>
      <c r="M70" s="216"/>
      <c r="N70" s="216"/>
      <c r="O70" s="216"/>
      <c r="P70" s="216"/>
    </row>
    <row r="71" spans="1:16" ht="12.75">
      <c r="A71" s="213"/>
      <c r="B71" s="213"/>
      <c r="C71" s="213"/>
      <c r="D71" s="215"/>
      <c r="E71" s="216"/>
      <c r="F71" s="216"/>
      <c r="G71" s="216"/>
      <c r="H71" s="187"/>
      <c r="I71" s="187"/>
      <c r="J71" s="216"/>
      <c r="K71" s="216"/>
      <c r="L71" s="216"/>
      <c r="M71" s="216"/>
      <c r="N71" s="216"/>
      <c r="O71" s="216"/>
      <c r="P71" s="216"/>
    </row>
    <row r="72" spans="1:16" ht="12.75">
      <c r="A72" s="213"/>
      <c r="B72" s="213"/>
      <c r="C72" s="213"/>
      <c r="D72" s="215"/>
      <c r="E72" s="216"/>
      <c r="F72" s="216"/>
      <c r="G72" s="216"/>
      <c r="H72" s="187"/>
      <c r="I72" s="187"/>
      <c r="J72" s="216"/>
      <c r="K72" s="216"/>
      <c r="L72" s="216"/>
      <c r="M72" s="216"/>
      <c r="N72" s="216"/>
      <c r="O72" s="216"/>
      <c r="P72" s="216"/>
    </row>
    <row r="73" spans="1:16" ht="12.75">
      <c r="A73" s="213"/>
      <c r="B73" s="213"/>
      <c r="C73" s="213"/>
      <c r="D73" s="215"/>
      <c r="E73" s="216"/>
      <c r="F73" s="216"/>
      <c r="G73" s="216"/>
      <c r="H73" s="187"/>
      <c r="I73" s="187"/>
      <c r="J73" s="216"/>
      <c r="K73" s="216"/>
      <c r="L73" s="216"/>
      <c r="M73" s="216"/>
      <c r="N73" s="216"/>
      <c r="O73" s="216"/>
      <c r="P73" s="216"/>
    </row>
    <row r="74" spans="1:16" ht="12.75">
      <c r="A74" s="213"/>
      <c r="B74" s="213"/>
      <c r="C74" s="213"/>
      <c r="D74" s="215"/>
      <c r="E74" s="216"/>
      <c r="F74" s="216"/>
      <c r="G74" s="216"/>
      <c r="H74" s="187"/>
      <c r="I74" s="187"/>
      <c r="J74" s="216"/>
      <c r="K74" s="216"/>
      <c r="L74" s="216"/>
      <c r="M74" s="216"/>
      <c r="N74" s="216"/>
      <c r="O74" s="216"/>
      <c r="P74" s="216"/>
    </row>
    <row r="75" spans="1:16" ht="12.75">
      <c r="A75" s="213"/>
      <c r="B75" s="213"/>
      <c r="C75" s="213"/>
      <c r="D75" s="215"/>
      <c r="E75" s="216"/>
      <c r="F75" s="216"/>
      <c r="G75" s="216"/>
      <c r="H75" s="187"/>
      <c r="I75" s="187"/>
      <c r="J75" s="216"/>
      <c r="K75" s="216"/>
      <c r="L75" s="216"/>
      <c r="M75" s="216"/>
      <c r="N75" s="216"/>
      <c r="O75" s="216"/>
      <c r="P75" s="216"/>
    </row>
    <row r="76" spans="1:16" ht="12.75">
      <c r="A76" s="213"/>
      <c r="B76" s="213"/>
      <c r="C76" s="213"/>
      <c r="D76" s="215"/>
      <c r="E76" s="216"/>
      <c r="F76" s="216"/>
      <c r="G76" s="216"/>
      <c r="H76" s="187"/>
      <c r="I76" s="187"/>
      <c r="J76" s="216"/>
      <c r="K76" s="216"/>
      <c r="L76" s="216"/>
      <c r="M76" s="216"/>
      <c r="N76" s="216"/>
      <c r="O76" s="216"/>
      <c r="P76" s="216"/>
    </row>
    <row r="77" spans="1:16" ht="12.75">
      <c r="A77" s="213"/>
      <c r="B77" s="213"/>
      <c r="C77" s="213"/>
      <c r="D77" s="215"/>
      <c r="E77" s="216"/>
      <c r="F77" s="216"/>
      <c r="G77" s="216"/>
      <c r="H77" s="187"/>
      <c r="I77" s="187"/>
      <c r="J77" s="216"/>
      <c r="K77" s="216"/>
      <c r="L77" s="216"/>
      <c r="M77" s="216"/>
      <c r="N77" s="216"/>
      <c r="O77" s="216"/>
      <c r="P77" s="216"/>
    </row>
    <row r="78" spans="1:16" ht="12.75">
      <c r="A78" s="213"/>
      <c r="B78" s="213"/>
      <c r="C78" s="213"/>
      <c r="D78" s="215"/>
      <c r="E78" s="216"/>
      <c r="F78" s="216"/>
      <c r="G78" s="216"/>
      <c r="H78" s="187"/>
      <c r="I78" s="187"/>
      <c r="J78" s="216"/>
      <c r="K78" s="216"/>
      <c r="L78" s="216"/>
      <c r="M78" s="216"/>
      <c r="N78" s="216"/>
      <c r="O78" s="216"/>
      <c r="P78" s="216"/>
    </row>
    <row r="79" spans="1:16" ht="12.75">
      <c r="A79" s="213"/>
      <c r="B79" s="213"/>
      <c r="C79" s="213"/>
      <c r="D79" s="215"/>
      <c r="E79" s="216"/>
      <c r="F79" s="216"/>
      <c r="G79" s="216"/>
      <c r="H79" s="187"/>
      <c r="I79" s="187"/>
      <c r="J79" s="216"/>
      <c r="K79" s="216"/>
      <c r="L79" s="216"/>
      <c r="M79" s="216"/>
      <c r="N79" s="216"/>
      <c r="O79" s="216"/>
      <c r="P79" s="216"/>
    </row>
    <row r="80" spans="1:16" ht="12.75">
      <c r="A80" s="213"/>
      <c r="B80" s="213"/>
      <c r="C80" s="213"/>
      <c r="D80" s="215"/>
      <c r="E80" s="216"/>
      <c r="F80" s="216"/>
      <c r="G80" s="216"/>
      <c r="H80" s="187"/>
      <c r="I80" s="187"/>
      <c r="J80" s="216"/>
      <c r="K80" s="216"/>
      <c r="L80" s="216"/>
      <c r="M80" s="216"/>
      <c r="N80" s="216"/>
      <c r="O80" s="216"/>
      <c r="P80" s="216"/>
    </row>
    <row r="81" spans="1:16" ht="12.75">
      <c r="A81" s="213"/>
      <c r="B81" s="213"/>
      <c r="C81" s="213"/>
      <c r="D81" s="215"/>
      <c r="E81" s="216"/>
      <c r="F81" s="216"/>
      <c r="G81" s="216"/>
      <c r="H81" s="187"/>
      <c r="I81" s="187"/>
      <c r="J81" s="216"/>
      <c r="K81" s="216"/>
      <c r="L81" s="216"/>
      <c r="M81" s="216"/>
      <c r="N81" s="216"/>
      <c r="O81" s="216"/>
      <c r="P81" s="216"/>
    </row>
    <row r="82" spans="1:16" ht="12.75">
      <c r="A82" s="213"/>
      <c r="B82" s="213"/>
      <c r="C82" s="213"/>
      <c r="D82" s="215"/>
      <c r="E82" s="216"/>
      <c r="F82" s="216"/>
      <c r="G82" s="216"/>
      <c r="H82" s="187"/>
      <c r="I82" s="187"/>
      <c r="J82" s="216"/>
      <c r="K82" s="216"/>
      <c r="L82" s="216"/>
      <c r="M82" s="216"/>
      <c r="N82" s="216"/>
      <c r="O82" s="216"/>
      <c r="P82" s="216"/>
    </row>
    <row r="83" spans="1:16" ht="12.75">
      <c r="A83" s="213"/>
      <c r="B83" s="213"/>
      <c r="C83" s="213"/>
      <c r="D83" s="215"/>
      <c r="E83" s="216"/>
      <c r="F83" s="216"/>
      <c r="G83" s="216"/>
      <c r="H83" s="187"/>
      <c r="I83" s="187"/>
      <c r="J83" s="216"/>
      <c r="K83" s="216"/>
      <c r="L83" s="216"/>
      <c r="M83" s="216"/>
      <c r="N83" s="216"/>
      <c r="O83" s="216"/>
      <c r="P83" s="216"/>
    </row>
    <row r="84" spans="1:16" ht="12.75">
      <c r="A84" s="213"/>
      <c r="B84" s="213"/>
      <c r="C84" s="213"/>
      <c r="D84" s="215"/>
      <c r="E84" s="216"/>
      <c r="F84" s="216"/>
      <c r="G84" s="216"/>
      <c r="H84" s="187"/>
      <c r="I84" s="187"/>
      <c r="J84" s="216"/>
      <c r="K84" s="216"/>
      <c r="L84" s="216"/>
      <c r="M84" s="216"/>
      <c r="N84" s="216"/>
      <c r="O84" s="216"/>
      <c r="P84" s="216"/>
    </row>
    <row r="85" spans="1:16" ht="12.75">
      <c r="A85" s="213"/>
      <c r="B85" s="213"/>
      <c r="C85" s="213"/>
      <c r="D85" s="215"/>
      <c r="E85" s="216"/>
      <c r="F85" s="216"/>
      <c r="G85" s="216"/>
      <c r="H85" s="187"/>
      <c r="I85" s="187"/>
      <c r="J85" s="216"/>
      <c r="K85" s="216"/>
      <c r="L85" s="216"/>
      <c r="M85" s="216"/>
      <c r="N85" s="216"/>
      <c r="O85" s="216"/>
      <c r="P85" s="216"/>
    </row>
    <row r="86" spans="1:16" ht="12.75">
      <c r="A86" s="213"/>
      <c r="B86" s="213"/>
      <c r="C86" s="213"/>
      <c r="D86" s="215"/>
      <c r="E86" s="216"/>
      <c r="F86" s="216"/>
      <c r="G86" s="216"/>
      <c r="H86" s="187"/>
      <c r="I86" s="187"/>
      <c r="J86" s="216"/>
      <c r="K86" s="216"/>
      <c r="L86" s="216"/>
      <c r="M86" s="216"/>
      <c r="N86" s="216"/>
      <c r="O86" s="216"/>
      <c r="P86" s="216"/>
    </row>
    <row r="87" spans="1:16" ht="12.75">
      <c r="A87" s="213"/>
      <c r="B87" s="213"/>
      <c r="C87" s="213"/>
      <c r="D87" s="215"/>
      <c r="E87" s="216"/>
      <c r="F87" s="216"/>
      <c r="G87" s="216"/>
      <c r="H87" s="187"/>
      <c r="I87" s="187"/>
      <c r="J87" s="216"/>
      <c r="K87" s="216"/>
      <c r="L87" s="216"/>
      <c r="M87" s="216"/>
      <c r="N87" s="216"/>
      <c r="O87" s="216"/>
      <c r="P87" s="216"/>
    </row>
    <row r="88" spans="1:16" ht="12.75">
      <c r="A88" s="213"/>
      <c r="B88" s="213"/>
      <c r="C88" s="213"/>
      <c r="D88" s="215"/>
      <c r="E88" s="216"/>
      <c r="F88" s="216"/>
      <c r="G88" s="216"/>
      <c r="H88" s="187"/>
      <c r="I88" s="187"/>
      <c r="J88" s="216"/>
      <c r="K88" s="216"/>
      <c r="L88" s="216"/>
      <c r="M88" s="216"/>
      <c r="N88" s="216"/>
      <c r="O88" s="216"/>
      <c r="P88" s="216"/>
    </row>
    <row r="89" spans="1:16" ht="12.75">
      <c r="A89" s="213"/>
      <c r="B89" s="213"/>
      <c r="C89" s="213"/>
      <c r="D89" s="215"/>
      <c r="E89" s="216"/>
      <c r="F89" s="216"/>
      <c r="G89" s="216"/>
      <c r="H89" s="187"/>
      <c r="I89" s="187"/>
      <c r="J89" s="216"/>
      <c r="K89" s="216"/>
      <c r="L89" s="216"/>
      <c r="M89" s="216"/>
      <c r="N89" s="216"/>
      <c r="O89" s="216"/>
      <c r="P89" s="216"/>
    </row>
    <row r="90" spans="1:16" ht="12.75">
      <c r="A90" s="213"/>
      <c r="B90" s="213"/>
      <c r="C90" s="213"/>
      <c r="D90" s="215"/>
      <c r="E90" s="216"/>
      <c r="F90" s="216"/>
      <c r="G90" s="216"/>
      <c r="H90" s="187"/>
      <c r="I90" s="187"/>
      <c r="J90" s="216"/>
      <c r="K90" s="216"/>
      <c r="L90" s="216"/>
      <c r="M90" s="216"/>
      <c r="N90" s="216"/>
      <c r="O90" s="216"/>
      <c r="P90" s="216"/>
    </row>
    <row r="91" spans="1:16" ht="12.75">
      <c r="A91" s="213"/>
      <c r="B91" s="213"/>
      <c r="C91" s="213"/>
      <c r="D91" s="215"/>
      <c r="E91" s="216"/>
      <c r="F91" s="216"/>
      <c r="G91" s="216"/>
      <c r="H91" s="187"/>
      <c r="I91" s="187"/>
      <c r="J91" s="216"/>
      <c r="K91" s="216"/>
      <c r="L91" s="216"/>
      <c r="M91" s="216"/>
      <c r="N91" s="216"/>
      <c r="O91" s="216"/>
      <c r="P91" s="216"/>
    </row>
    <row r="92" spans="1:16" ht="12.75">
      <c r="A92" s="213"/>
      <c r="B92" s="213"/>
      <c r="C92" s="213"/>
      <c r="D92" s="215"/>
      <c r="E92" s="216"/>
      <c r="F92" s="216"/>
      <c r="G92" s="216"/>
      <c r="H92" s="187"/>
      <c r="I92" s="187"/>
      <c r="J92" s="216"/>
      <c r="K92" s="216"/>
      <c r="L92" s="216"/>
      <c r="M92" s="216"/>
      <c r="N92" s="216"/>
      <c r="O92" s="216"/>
      <c r="P92" s="216"/>
    </row>
    <row r="93" spans="1:16" ht="12.75">
      <c r="A93" s="213"/>
      <c r="B93" s="213"/>
      <c r="C93" s="213"/>
      <c r="D93" s="215"/>
      <c r="E93" s="216"/>
      <c r="F93" s="216"/>
      <c r="G93" s="216"/>
      <c r="H93" s="187"/>
      <c r="I93" s="187"/>
      <c r="J93" s="216"/>
      <c r="K93" s="216"/>
      <c r="L93" s="216"/>
      <c r="M93" s="216"/>
      <c r="N93" s="216"/>
      <c r="O93" s="216"/>
      <c r="P93" s="216"/>
    </row>
    <row r="94" spans="1:16" ht="12.75">
      <c r="A94" s="213"/>
      <c r="B94" s="213"/>
      <c r="C94" s="213"/>
      <c r="D94" s="215"/>
      <c r="E94" s="216"/>
      <c r="F94" s="216"/>
      <c r="G94" s="216"/>
      <c r="H94" s="187"/>
      <c r="I94" s="187"/>
      <c r="J94" s="216"/>
      <c r="K94" s="216"/>
      <c r="L94" s="216"/>
      <c r="M94" s="216"/>
      <c r="N94" s="216"/>
      <c r="O94" s="216"/>
      <c r="P94" s="216"/>
    </row>
    <row r="95" spans="1:16" ht="12.75">
      <c r="A95" s="213"/>
      <c r="B95" s="213"/>
      <c r="C95" s="213"/>
      <c r="D95" s="215"/>
      <c r="E95" s="216"/>
      <c r="F95" s="216"/>
      <c r="G95" s="216"/>
      <c r="H95" s="187"/>
      <c r="I95" s="187"/>
      <c r="J95" s="216"/>
      <c r="K95" s="216"/>
      <c r="L95" s="216"/>
      <c r="M95" s="216"/>
      <c r="N95" s="216"/>
      <c r="O95" s="216"/>
      <c r="P95" s="216"/>
    </row>
    <row r="96" spans="1:16" ht="12.75">
      <c r="A96" s="213"/>
      <c r="B96" s="213"/>
      <c r="C96" s="213"/>
      <c r="D96" s="215"/>
      <c r="E96" s="216"/>
      <c r="F96" s="216"/>
      <c r="G96" s="216"/>
      <c r="H96" s="187"/>
      <c r="I96" s="187"/>
      <c r="J96" s="216"/>
      <c r="K96" s="216"/>
      <c r="L96" s="216"/>
      <c r="M96" s="216"/>
      <c r="N96" s="216"/>
      <c r="O96" s="216"/>
      <c r="P96" s="216"/>
    </row>
    <row r="97" spans="1:16" ht="12.75">
      <c r="A97" s="213"/>
      <c r="B97" s="213"/>
      <c r="C97" s="213"/>
      <c r="D97" s="215"/>
      <c r="E97" s="216"/>
      <c r="F97" s="216"/>
      <c r="G97" s="216"/>
      <c r="H97" s="187"/>
      <c r="I97" s="187"/>
      <c r="J97" s="216"/>
      <c r="K97" s="216"/>
      <c r="L97" s="216"/>
      <c r="M97" s="216"/>
      <c r="N97" s="216"/>
      <c r="O97" s="216"/>
      <c r="P97" s="216"/>
    </row>
    <row r="98" spans="1:16" ht="12.75">
      <c r="A98" s="213"/>
      <c r="B98" s="213"/>
      <c r="C98" s="213"/>
      <c r="D98" s="215"/>
      <c r="E98" s="216"/>
      <c r="F98" s="216"/>
      <c r="G98" s="216"/>
      <c r="H98" s="187"/>
      <c r="I98" s="187"/>
      <c r="J98" s="216"/>
      <c r="K98" s="216"/>
      <c r="L98" s="216"/>
      <c r="M98" s="216"/>
      <c r="N98" s="216"/>
      <c r="O98" s="216"/>
      <c r="P98" s="216"/>
    </row>
    <row r="99" spans="1:16" ht="12.75">
      <c r="A99" s="213"/>
      <c r="B99" s="213"/>
      <c r="C99" s="213"/>
      <c r="D99" s="215"/>
      <c r="E99" s="216"/>
      <c r="F99" s="216"/>
      <c r="G99" s="216"/>
      <c r="H99" s="187"/>
      <c r="I99" s="187"/>
      <c r="J99" s="216"/>
      <c r="K99" s="216"/>
      <c r="L99" s="216"/>
      <c r="M99" s="216"/>
      <c r="N99" s="216"/>
      <c r="O99" s="216"/>
      <c r="P99" s="216"/>
    </row>
    <row r="100" spans="1:16" ht="12.75">
      <c r="A100" s="213"/>
      <c r="B100" s="213"/>
      <c r="C100" s="213"/>
      <c r="D100" s="215"/>
      <c r="E100" s="216"/>
      <c r="F100" s="216"/>
      <c r="G100" s="216"/>
      <c r="H100" s="187"/>
      <c r="I100" s="187"/>
      <c r="J100" s="216"/>
      <c r="K100" s="216"/>
      <c r="L100" s="216"/>
      <c r="M100" s="216"/>
      <c r="N100" s="216"/>
      <c r="O100" s="216"/>
      <c r="P100" s="216"/>
    </row>
    <row r="101" spans="1:16" ht="12.75">
      <c r="A101" s="213"/>
      <c r="B101" s="213"/>
      <c r="C101" s="213"/>
      <c r="D101" s="215"/>
      <c r="E101" s="216"/>
      <c r="F101" s="216"/>
      <c r="G101" s="216"/>
      <c r="H101" s="187"/>
      <c r="I101" s="187"/>
      <c r="J101" s="216"/>
      <c r="K101" s="216"/>
      <c r="L101" s="216"/>
      <c r="M101" s="216"/>
      <c r="N101" s="216"/>
      <c r="O101" s="216"/>
      <c r="P101" s="216"/>
    </row>
    <row r="102" spans="1:16" ht="12.75">
      <c r="A102" s="213"/>
      <c r="B102" s="213"/>
      <c r="C102" s="213"/>
      <c r="D102" s="215"/>
      <c r="E102" s="216"/>
      <c r="F102" s="216"/>
      <c r="G102" s="216"/>
      <c r="H102" s="187"/>
      <c r="I102" s="187"/>
      <c r="J102" s="216"/>
      <c r="K102" s="216"/>
      <c r="L102" s="216"/>
      <c r="M102" s="216"/>
      <c r="N102" s="216"/>
      <c r="O102" s="216"/>
      <c r="P102" s="216"/>
    </row>
    <row r="103" spans="1:16" ht="12.75">
      <c r="A103" s="213"/>
      <c r="B103" s="213"/>
      <c r="C103" s="213"/>
      <c r="D103" s="215"/>
      <c r="E103" s="216"/>
      <c r="F103" s="216"/>
      <c r="G103" s="216"/>
      <c r="H103" s="187"/>
      <c r="I103" s="187"/>
      <c r="J103" s="216"/>
      <c r="K103" s="216"/>
      <c r="L103" s="216"/>
      <c r="M103" s="216"/>
      <c r="N103" s="216"/>
      <c r="O103" s="216"/>
      <c r="P103" s="216"/>
    </row>
    <row r="104" spans="1:16" ht="12.75">
      <c r="A104" s="213"/>
      <c r="B104" s="213"/>
      <c r="C104" s="213"/>
      <c r="D104" s="215"/>
      <c r="E104" s="216"/>
      <c r="F104" s="216"/>
      <c r="G104" s="216"/>
      <c r="H104" s="187"/>
      <c r="I104" s="187"/>
      <c r="J104" s="216"/>
      <c r="K104" s="216"/>
      <c r="L104" s="216"/>
      <c r="M104" s="216"/>
      <c r="N104" s="216"/>
      <c r="O104" s="216"/>
      <c r="P104" s="216"/>
    </row>
    <row r="105" spans="1:16" ht="12.75">
      <c r="A105" s="213"/>
      <c r="B105" s="213"/>
      <c r="C105" s="213"/>
      <c r="D105" s="215"/>
      <c r="E105" s="216"/>
      <c r="F105" s="216"/>
      <c r="G105" s="216"/>
      <c r="H105" s="187"/>
      <c r="I105" s="187"/>
      <c r="J105" s="216"/>
      <c r="K105" s="216"/>
      <c r="L105" s="216"/>
      <c r="M105" s="216"/>
      <c r="N105" s="216"/>
      <c r="O105" s="216"/>
      <c r="P105" s="216"/>
    </row>
    <row r="106" spans="1:16" ht="12.75">
      <c r="A106" s="213"/>
      <c r="B106" s="213"/>
      <c r="C106" s="213"/>
      <c r="D106" s="215"/>
      <c r="E106" s="216"/>
      <c r="F106" s="216"/>
      <c r="G106" s="216"/>
      <c r="H106" s="187"/>
      <c r="I106" s="187"/>
      <c r="J106" s="216"/>
      <c r="K106" s="216"/>
      <c r="L106" s="216"/>
      <c r="M106" s="216"/>
      <c r="N106" s="216"/>
      <c r="O106" s="216"/>
      <c r="P106" s="216"/>
    </row>
    <row r="107" spans="1:16" ht="12.75">
      <c r="A107" s="213"/>
      <c r="B107" s="213"/>
      <c r="C107" s="213"/>
      <c r="D107" s="215"/>
      <c r="E107" s="216"/>
      <c r="F107" s="216"/>
      <c r="G107" s="216"/>
      <c r="H107" s="187"/>
      <c r="I107" s="187"/>
      <c r="J107" s="216"/>
      <c r="K107" s="216"/>
      <c r="L107" s="216"/>
      <c r="M107" s="216"/>
      <c r="N107" s="216"/>
      <c r="O107" s="216"/>
      <c r="P107" s="216"/>
    </row>
    <row r="108" spans="1:16" ht="12.75">
      <c r="A108" s="213"/>
      <c r="B108" s="213"/>
      <c r="C108" s="213"/>
      <c r="D108" s="215"/>
      <c r="E108" s="216"/>
      <c r="F108" s="216"/>
      <c r="G108" s="216"/>
      <c r="H108" s="187"/>
      <c r="I108" s="187"/>
      <c r="J108" s="216"/>
      <c r="K108" s="216"/>
      <c r="L108" s="216"/>
      <c r="M108" s="216"/>
      <c r="N108" s="216"/>
      <c r="O108" s="216"/>
      <c r="P108" s="216"/>
    </row>
    <row r="109" spans="1:16" ht="12.75">
      <c r="A109" s="213"/>
      <c r="B109" s="213"/>
      <c r="C109" s="213"/>
      <c r="D109" s="215"/>
      <c r="E109" s="216"/>
      <c r="F109" s="216"/>
      <c r="G109" s="216"/>
      <c r="H109" s="187"/>
      <c r="I109" s="187"/>
      <c r="J109" s="216"/>
      <c r="K109" s="216"/>
      <c r="L109" s="216"/>
      <c r="M109" s="216"/>
      <c r="N109" s="216"/>
      <c r="O109" s="216"/>
      <c r="P109" s="216"/>
    </row>
    <row r="110" spans="1:16" ht="12.75">
      <c r="A110" s="213"/>
      <c r="B110" s="213"/>
      <c r="C110" s="213"/>
      <c r="D110" s="215"/>
      <c r="E110" s="216"/>
      <c r="F110" s="216"/>
      <c r="G110" s="216"/>
      <c r="H110" s="187"/>
      <c r="I110" s="187"/>
      <c r="J110" s="216"/>
      <c r="K110" s="216"/>
      <c r="L110" s="216"/>
      <c r="M110" s="216"/>
      <c r="N110" s="216"/>
      <c r="O110" s="216"/>
      <c r="P110" s="216"/>
    </row>
    <row r="111" spans="1:16" ht="12.75">
      <c r="A111" s="213"/>
      <c r="B111" s="213"/>
      <c r="C111" s="213"/>
      <c r="D111" s="215"/>
      <c r="E111" s="216"/>
      <c r="F111" s="216"/>
      <c r="G111" s="216"/>
      <c r="H111" s="187"/>
      <c r="I111" s="187"/>
      <c r="J111" s="216"/>
      <c r="K111" s="216"/>
      <c r="L111" s="216"/>
      <c r="M111" s="216"/>
      <c r="N111" s="216"/>
      <c r="O111" s="216"/>
      <c r="P111" s="216"/>
    </row>
    <row r="112" spans="1:16" ht="12.75">
      <c r="A112" s="213"/>
      <c r="B112" s="213"/>
      <c r="C112" s="213"/>
      <c r="D112" s="215"/>
      <c r="E112" s="216"/>
      <c r="F112" s="216"/>
      <c r="G112" s="216"/>
      <c r="H112" s="187"/>
      <c r="I112" s="187"/>
      <c r="J112" s="216"/>
      <c r="K112" s="216"/>
      <c r="L112" s="216"/>
      <c r="M112" s="216"/>
      <c r="N112" s="216"/>
      <c r="O112" s="216"/>
      <c r="P112" s="216"/>
    </row>
    <row r="113" spans="1:16" ht="12.75">
      <c r="A113" s="213"/>
      <c r="B113" s="213"/>
      <c r="C113" s="213"/>
      <c r="D113" s="215"/>
      <c r="E113" s="216"/>
      <c r="F113" s="216"/>
      <c r="G113" s="216"/>
      <c r="H113" s="187"/>
      <c r="I113" s="187"/>
      <c r="J113" s="216"/>
      <c r="K113" s="216"/>
      <c r="L113" s="216"/>
      <c r="M113" s="216"/>
      <c r="N113" s="216"/>
      <c r="O113" s="216"/>
      <c r="P113" s="216"/>
    </row>
    <row r="114" spans="1:16" ht="12.75">
      <c r="A114" s="213"/>
      <c r="B114" s="213"/>
      <c r="C114" s="213"/>
      <c r="D114" s="215"/>
      <c r="E114" s="216"/>
      <c r="F114" s="216"/>
      <c r="G114" s="216"/>
      <c r="H114" s="187"/>
      <c r="I114" s="187"/>
      <c r="J114" s="216"/>
      <c r="K114" s="216"/>
      <c r="L114" s="216"/>
      <c r="M114" s="216"/>
      <c r="N114" s="216"/>
      <c r="O114" s="216"/>
      <c r="P114" s="216"/>
    </row>
    <row r="115" spans="1:16" ht="12.75">
      <c r="A115" s="213"/>
      <c r="B115" s="213"/>
      <c r="C115" s="213"/>
      <c r="D115" s="215"/>
      <c r="E115" s="216"/>
      <c r="F115" s="216"/>
      <c r="G115" s="216"/>
      <c r="H115" s="187"/>
      <c r="I115" s="187"/>
      <c r="J115" s="216"/>
      <c r="K115" s="216"/>
      <c r="L115" s="216"/>
      <c r="M115" s="216"/>
      <c r="N115" s="216"/>
      <c r="O115" s="216"/>
      <c r="P115" s="216"/>
    </row>
    <row r="116" spans="1:16" ht="12.75">
      <c r="A116" s="213"/>
      <c r="B116" s="213"/>
      <c r="C116" s="213"/>
      <c r="D116" s="215"/>
      <c r="E116" s="216"/>
      <c r="F116" s="216"/>
      <c r="G116" s="216"/>
      <c r="H116" s="187"/>
      <c r="I116" s="187"/>
      <c r="J116" s="216"/>
      <c r="K116" s="216"/>
      <c r="L116" s="216"/>
      <c r="M116" s="216"/>
      <c r="N116" s="216"/>
      <c r="O116" s="216"/>
      <c r="P116" s="216"/>
    </row>
    <row r="117" spans="1:16" ht="12.75">
      <c r="A117" s="213"/>
      <c r="B117" s="213"/>
      <c r="C117" s="213"/>
      <c r="D117" s="215"/>
      <c r="E117" s="216"/>
      <c r="F117" s="216"/>
      <c r="G117" s="216"/>
      <c r="H117" s="187"/>
      <c r="I117" s="187"/>
      <c r="J117" s="216"/>
      <c r="K117" s="216"/>
      <c r="L117" s="216"/>
      <c r="M117" s="216"/>
      <c r="N117" s="216"/>
      <c r="O117" s="216"/>
      <c r="P117" s="216"/>
    </row>
    <row r="118" spans="1:16" ht="12.75">
      <c r="A118" s="213"/>
      <c r="B118" s="213"/>
      <c r="C118" s="213"/>
      <c r="D118" s="215"/>
      <c r="E118" s="216"/>
      <c r="F118" s="216"/>
      <c r="G118" s="216"/>
      <c r="H118" s="187"/>
      <c r="I118" s="187"/>
      <c r="J118" s="216"/>
      <c r="K118" s="216"/>
      <c r="L118" s="216"/>
      <c r="M118" s="216"/>
      <c r="N118" s="216"/>
      <c r="O118" s="216"/>
      <c r="P118" s="216"/>
    </row>
    <row r="119" spans="1:16" ht="12.75">
      <c r="A119" s="213"/>
      <c r="B119" s="213"/>
      <c r="C119" s="213"/>
      <c r="D119" s="215"/>
      <c r="E119" s="216"/>
      <c r="F119" s="216"/>
      <c r="G119" s="216"/>
      <c r="H119" s="187"/>
      <c r="I119" s="187"/>
      <c r="J119" s="216"/>
      <c r="K119" s="216"/>
      <c r="L119" s="216"/>
      <c r="M119" s="216"/>
      <c r="N119" s="216"/>
      <c r="O119" s="216"/>
      <c r="P119" s="216"/>
    </row>
    <row r="120" spans="1:16" ht="12.75">
      <c r="A120" s="213"/>
      <c r="B120" s="213"/>
      <c r="C120" s="213"/>
      <c r="D120" s="215"/>
      <c r="E120" s="216"/>
      <c r="F120" s="216"/>
      <c r="G120" s="216"/>
      <c r="H120" s="187"/>
      <c r="I120" s="187"/>
      <c r="J120" s="216"/>
      <c r="K120" s="216"/>
      <c r="L120" s="216"/>
      <c r="M120" s="216"/>
      <c r="N120" s="216"/>
      <c r="O120" s="216"/>
      <c r="P120" s="216"/>
    </row>
    <row r="121" spans="1:16" ht="12.75">
      <c r="A121" s="213"/>
      <c r="B121" s="213"/>
      <c r="C121" s="213"/>
      <c r="D121" s="215"/>
      <c r="E121" s="216"/>
      <c r="F121" s="216"/>
      <c r="G121" s="216"/>
      <c r="H121" s="187"/>
      <c r="I121" s="187"/>
      <c r="J121" s="216"/>
      <c r="K121" s="216"/>
      <c r="L121" s="216"/>
      <c r="M121" s="216"/>
      <c r="N121" s="216"/>
      <c r="O121" s="216"/>
      <c r="P121" s="216"/>
    </row>
    <row r="122" spans="1:16" ht="12.75">
      <c r="A122" s="213"/>
      <c r="B122" s="213"/>
      <c r="C122" s="213"/>
      <c r="D122" s="215"/>
      <c r="E122" s="216"/>
      <c r="F122" s="216"/>
      <c r="G122" s="216"/>
      <c r="H122" s="187"/>
      <c r="I122" s="187"/>
      <c r="J122" s="216"/>
      <c r="K122" s="216"/>
      <c r="L122" s="216"/>
      <c r="M122" s="216"/>
      <c r="N122" s="216"/>
      <c r="O122" s="216"/>
      <c r="P122" s="216"/>
    </row>
    <row r="123" spans="1:16" ht="12.75">
      <c r="A123" s="213"/>
      <c r="B123" s="213"/>
      <c r="C123" s="213"/>
      <c r="D123" s="215"/>
      <c r="E123" s="216"/>
      <c r="F123" s="216"/>
      <c r="G123" s="216"/>
      <c r="H123" s="187"/>
      <c r="I123" s="187"/>
      <c r="J123" s="216"/>
      <c r="K123" s="216"/>
      <c r="L123" s="216"/>
      <c r="M123" s="216"/>
      <c r="N123" s="216"/>
      <c r="O123" s="216"/>
      <c r="P123" s="216"/>
    </row>
    <row r="124" spans="1:16" ht="12.75">
      <c r="A124" s="213"/>
      <c r="B124" s="213"/>
      <c r="C124" s="213"/>
      <c r="D124" s="215"/>
      <c r="E124" s="216"/>
      <c r="F124" s="216"/>
      <c r="G124" s="216"/>
      <c r="H124" s="187"/>
      <c r="I124" s="187"/>
      <c r="J124" s="216"/>
      <c r="K124" s="216"/>
      <c r="L124" s="216"/>
      <c r="M124" s="216"/>
      <c r="N124" s="216"/>
      <c r="O124" s="216"/>
      <c r="P124" s="216"/>
    </row>
    <row r="125" spans="1:16" ht="12.75">
      <c r="A125" s="213"/>
      <c r="B125" s="213"/>
      <c r="C125" s="213"/>
      <c r="D125" s="215"/>
      <c r="E125" s="216"/>
      <c r="F125" s="216"/>
      <c r="G125" s="216"/>
      <c r="H125" s="187"/>
      <c r="I125" s="187"/>
      <c r="J125" s="216"/>
      <c r="K125" s="216"/>
      <c r="L125" s="216"/>
      <c r="M125" s="216"/>
      <c r="N125" s="216"/>
      <c r="O125" s="216"/>
      <c r="P125" s="216"/>
    </row>
    <row r="126" spans="1:16" ht="12.75">
      <c r="A126" s="213"/>
      <c r="B126" s="213"/>
      <c r="C126" s="213"/>
      <c r="D126" s="215"/>
      <c r="E126" s="216"/>
      <c r="F126" s="216"/>
      <c r="G126" s="216"/>
      <c r="H126" s="187"/>
      <c r="I126" s="187"/>
      <c r="J126" s="216"/>
      <c r="K126" s="216"/>
      <c r="L126" s="216"/>
      <c r="M126" s="216"/>
      <c r="N126" s="216"/>
      <c r="O126" s="216"/>
      <c r="P126" s="216"/>
    </row>
    <row r="127" spans="1:16" ht="12.75">
      <c r="A127" s="213"/>
      <c r="B127" s="213"/>
      <c r="C127" s="213"/>
      <c r="D127" s="215"/>
      <c r="E127" s="216"/>
      <c r="F127" s="216"/>
      <c r="G127" s="216"/>
      <c r="H127" s="187"/>
      <c r="I127" s="187"/>
      <c r="J127" s="216"/>
      <c r="K127" s="216"/>
      <c r="L127" s="216"/>
      <c r="M127" s="216"/>
      <c r="N127" s="216"/>
      <c r="O127" s="216"/>
      <c r="P127" s="216"/>
    </row>
    <row r="128" spans="1:16" ht="12.75">
      <c r="A128" s="213"/>
      <c r="B128" s="213"/>
      <c r="C128" s="213"/>
      <c r="D128" s="215"/>
      <c r="E128" s="216"/>
      <c r="F128" s="216"/>
      <c r="G128" s="216"/>
      <c r="H128" s="187"/>
      <c r="I128" s="187"/>
      <c r="J128" s="216"/>
      <c r="K128" s="216"/>
      <c r="L128" s="216"/>
      <c r="M128" s="216"/>
      <c r="N128" s="216"/>
      <c r="O128" s="216"/>
      <c r="P128" s="216"/>
    </row>
    <row r="129" spans="1:16" ht="12.75">
      <c r="A129" s="213"/>
      <c r="B129" s="213"/>
      <c r="C129" s="213"/>
      <c r="D129" s="215"/>
      <c r="E129" s="216"/>
      <c r="F129" s="216"/>
      <c r="G129" s="216"/>
      <c r="H129" s="187"/>
      <c r="I129" s="187"/>
      <c r="J129" s="216"/>
      <c r="K129" s="216"/>
      <c r="L129" s="216"/>
      <c r="M129" s="216"/>
      <c r="N129" s="216"/>
      <c r="O129" s="216"/>
      <c r="P129" s="216"/>
    </row>
    <row r="130" spans="1:16" ht="12.75">
      <c r="A130" s="213"/>
      <c r="B130" s="213"/>
      <c r="C130" s="213"/>
      <c r="D130" s="215"/>
      <c r="E130" s="216"/>
      <c r="F130" s="216"/>
      <c r="G130" s="216"/>
      <c r="H130" s="187"/>
      <c r="I130" s="187"/>
      <c r="J130" s="216"/>
      <c r="K130" s="216"/>
      <c r="L130" s="216"/>
      <c r="M130" s="216"/>
      <c r="N130" s="216"/>
      <c r="O130" s="216"/>
      <c r="P130" s="216"/>
    </row>
    <row r="131" spans="1:16" ht="12.75">
      <c r="A131" s="213"/>
      <c r="B131" s="213"/>
      <c r="C131" s="213"/>
      <c r="D131" s="215"/>
      <c r="E131" s="216"/>
      <c r="F131" s="216"/>
      <c r="G131" s="216"/>
      <c r="H131" s="187"/>
      <c r="I131" s="187"/>
      <c r="J131" s="216"/>
      <c r="K131" s="216"/>
      <c r="L131" s="216"/>
      <c r="M131" s="216"/>
      <c r="N131" s="216"/>
      <c r="O131" s="216"/>
      <c r="P131" s="216"/>
    </row>
    <row r="132" spans="1:16" ht="12.75">
      <c r="A132" s="213"/>
      <c r="B132" s="213"/>
      <c r="C132" s="213"/>
      <c r="D132" s="215"/>
      <c r="E132" s="216"/>
      <c r="F132" s="216"/>
      <c r="G132" s="216"/>
      <c r="H132" s="187"/>
      <c r="I132" s="187"/>
      <c r="J132" s="216"/>
      <c r="K132" s="216"/>
      <c r="L132" s="216"/>
      <c r="M132" s="216"/>
      <c r="N132" s="216"/>
      <c r="O132" s="216"/>
      <c r="P132" s="216"/>
    </row>
    <row r="133" spans="1:16" ht="12.75">
      <c r="A133" s="213"/>
      <c r="B133" s="213"/>
      <c r="C133" s="213"/>
      <c r="D133" s="215"/>
      <c r="E133" s="216"/>
      <c r="F133" s="216"/>
      <c r="G133" s="216"/>
      <c r="H133" s="187"/>
      <c r="I133" s="187"/>
      <c r="J133" s="216"/>
      <c r="K133" s="216"/>
      <c r="L133" s="216"/>
      <c r="M133" s="216"/>
      <c r="N133" s="216"/>
      <c r="O133" s="216"/>
      <c r="P133" s="216"/>
    </row>
    <row r="134" spans="1:16" ht="12.75">
      <c r="A134" s="213"/>
      <c r="B134" s="213"/>
      <c r="C134" s="213"/>
      <c r="D134" s="215"/>
      <c r="E134" s="216"/>
      <c r="F134" s="216"/>
      <c r="G134" s="216"/>
      <c r="H134" s="187"/>
      <c r="I134" s="187"/>
      <c r="J134" s="216"/>
      <c r="K134" s="216"/>
      <c r="L134" s="216"/>
      <c r="M134" s="216"/>
      <c r="N134" s="216"/>
      <c r="O134" s="216"/>
      <c r="P134" s="216"/>
    </row>
    <row r="135" spans="1:16" ht="12.75">
      <c r="A135" s="213"/>
      <c r="B135" s="213"/>
      <c r="C135" s="213"/>
      <c r="D135" s="215"/>
      <c r="E135" s="216"/>
      <c r="F135" s="216"/>
      <c r="G135" s="216"/>
      <c r="H135" s="187"/>
      <c r="I135" s="187"/>
      <c r="J135" s="216"/>
      <c r="K135" s="216"/>
      <c r="L135" s="216"/>
      <c r="M135" s="216"/>
      <c r="N135" s="216"/>
      <c r="O135" s="216"/>
      <c r="P135" s="216"/>
    </row>
    <row r="136" spans="1:16" ht="12.75">
      <c r="A136" s="213"/>
      <c r="B136" s="213"/>
      <c r="C136" s="213"/>
      <c r="D136" s="215"/>
      <c r="E136" s="216"/>
      <c r="F136" s="216"/>
      <c r="G136" s="216"/>
      <c r="H136" s="187"/>
      <c r="I136" s="187"/>
      <c r="J136" s="216"/>
      <c r="K136" s="216"/>
      <c r="L136" s="216"/>
      <c r="M136" s="216"/>
      <c r="N136" s="216"/>
      <c r="O136" s="216"/>
      <c r="P136" s="216"/>
    </row>
    <row r="137" spans="1:16" ht="12.75">
      <c r="A137" s="213"/>
      <c r="B137" s="213"/>
      <c r="C137" s="213"/>
      <c r="D137" s="215"/>
      <c r="E137" s="216"/>
      <c r="F137" s="216"/>
      <c r="G137" s="216"/>
      <c r="H137" s="187"/>
      <c r="I137" s="187"/>
      <c r="J137" s="216"/>
      <c r="K137" s="216"/>
      <c r="L137" s="216"/>
      <c r="M137" s="216"/>
      <c r="N137" s="216"/>
      <c r="O137" s="216"/>
      <c r="P137" s="216"/>
    </row>
    <row r="138" spans="1:16" ht="12.75">
      <c r="A138" s="213"/>
      <c r="B138" s="213"/>
      <c r="C138" s="213"/>
      <c r="D138" s="215"/>
      <c r="E138" s="216"/>
      <c r="F138" s="216"/>
      <c r="G138" s="216"/>
      <c r="H138" s="187"/>
      <c r="I138" s="187"/>
      <c r="J138" s="216"/>
      <c r="K138" s="216"/>
      <c r="L138" s="216"/>
      <c r="M138" s="216"/>
      <c r="N138" s="216"/>
      <c r="O138" s="216"/>
      <c r="P138" s="216"/>
    </row>
    <row r="139" spans="1:16" ht="12.75">
      <c r="A139" s="213"/>
      <c r="B139" s="213"/>
      <c r="C139" s="213"/>
      <c r="D139" s="215"/>
      <c r="E139" s="216"/>
      <c r="F139" s="216"/>
      <c r="G139" s="216"/>
      <c r="H139" s="187"/>
      <c r="I139" s="187"/>
      <c r="J139" s="216"/>
      <c r="K139" s="216"/>
      <c r="L139" s="216"/>
      <c r="M139" s="216"/>
      <c r="N139" s="216"/>
      <c r="O139" s="216"/>
      <c r="P139" s="216"/>
    </row>
    <row r="140" spans="1:16" ht="12.75">
      <c r="A140" s="213"/>
      <c r="B140" s="213"/>
      <c r="C140" s="213"/>
      <c r="D140" s="215"/>
      <c r="E140" s="216"/>
      <c r="F140" s="216"/>
      <c r="G140" s="216"/>
      <c r="H140" s="187"/>
      <c r="I140" s="187"/>
      <c r="J140" s="216"/>
      <c r="K140" s="216"/>
      <c r="L140" s="216"/>
      <c r="M140" s="216"/>
      <c r="N140" s="216"/>
      <c r="O140" s="216"/>
      <c r="P140" s="216"/>
    </row>
    <row r="141" spans="1:16" ht="12.75">
      <c r="A141" s="213"/>
      <c r="B141" s="213"/>
      <c r="C141" s="213"/>
      <c r="D141" s="215"/>
      <c r="E141" s="216"/>
      <c r="F141" s="216"/>
      <c r="G141" s="216"/>
      <c r="H141" s="187"/>
      <c r="I141" s="187"/>
      <c r="J141" s="216"/>
      <c r="K141" s="216"/>
      <c r="L141" s="216"/>
      <c r="M141" s="216"/>
      <c r="N141" s="216"/>
      <c r="O141" s="216"/>
      <c r="P141" s="216"/>
    </row>
    <row r="142" spans="1:16" ht="12.75">
      <c r="A142" s="213"/>
      <c r="B142" s="213"/>
      <c r="C142" s="213"/>
      <c r="D142" s="215"/>
      <c r="E142" s="216"/>
      <c r="F142" s="216"/>
      <c r="G142" s="216"/>
      <c r="H142" s="187"/>
      <c r="I142" s="187"/>
      <c r="J142" s="216"/>
      <c r="K142" s="216"/>
      <c r="L142" s="216"/>
      <c r="M142" s="216"/>
      <c r="N142" s="216"/>
      <c r="O142" s="216"/>
      <c r="P142" s="216"/>
    </row>
    <row r="143" spans="1:16" ht="12.75">
      <c r="A143" s="213"/>
      <c r="B143" s="213"/>
      <c r="C143" s="213"/>
      <c r="D143" s="215"/>
      <c r="E143" s="216"/>
      <c r="F143" s="216"/>
      <c r="G143" s="216"/>
      <c r="H143" s="187"/>
      <c r="I143" s="187"/>
      <c r="J143" s="216"/>
      <c r="K143" s="216"/>
      <c r="L143" s="216"/>
      <c r="M143" s="216"/>
      <c r="N143" s="216"/>
      <c r="O143" s="216"/>
      <c r="P143" s="216"/>
    </row>
    <row r="144" spans="1:16" ht="12.75">
      <c r="A144" s="213"/>
      <c r="B144" s="213"/>
      <c r="C144" s="213"/>
      <c r="D144" s="215"/>
      <c r="E144" s="216"/>
      <c r="F144" s="216"/>
      <c r="G144" s="216"/>
      <c r="H144" s="187"/>
      <c r="I144" s="187"/>
      <c r="J144" s="216"/>
      <c r="K144" s="216"/>
      <c r="L144" s="216"/>
      <c r="M144" s="216"/>
      <c r="N144" s="216"/>
      <c r="O144" s="216"/>
      <c r="P144" s="216"/>
    </row>
    <row r="145" spans="1:16" ht="12.75">
      <c r="A145" s="213"/>
      <c r="B145" s="213"/>
      <c r="C145" s="213"/>
      <c r="D145" s="215"/>
      <c r="E145" s="216"/>
      <c r="F145" s="216"/>
      <c r="G145" s="216"/>
      <c r="H145" s="187"/>
      <c r="I145" s="187"/>
      <c r="J145" s="216"/>
      <c r="K145" s="216"/>
      <c r="L145" s="216"/>
      <c r="M145" s="216"/>
      <c r="N145" s="216"/>
      <c r="O145" s="216"/>
      <c r="P145" s="216"/>
    </row>
    <row r="146" spans="1:16" ht="12.75">
      <c r="A146" s="213"/>
      <c r="B146" s="213"/>
      <c r="C146" s="213"/>
      <c r="D146" s="215"/>
      <c r="E146" s="216"/>
      <c r="F146" s="216"/>
      <c r="G146" s="216"/>
      <c r="H146" s="187"/>
      <c r="I146" s="187"/>
      <c r="J146" s="216"/>
      <c r="K146" s="216"/>
      <c r="L146" s="216"/>
      <c r="M146" s="216"/>
      <c r="N146" s="216"/>
      <c r="O146" s="216"/>
      <c r="P146" s="216"/>
    </row>
    <row r="147" spans="1:16" ht="12.75">
      <c r="A147" s="213"/>
      <c r="B147" s="213"/>
      <c r="C147" s="213"/>
      <c r="D147" s="215"/>
      <c r="E147" s="216"/>
      <c r="F147" s="216"/>
      <c r="G147" s="216"/>
      <c r="H147" s="187"/>
      <c r="I147" s="187"/>
      <c r="J147" s="216"/>
      <c r="K147" s="216"/>
      <c r="L147" s="216"/>
      <c r="M147" s="216"/>
      <c r="N147" s="216"/>
      <c r="O147" s="216"/>
      <c r="P147" s="216"/>
    </row>
    <row r="148" spans="1:16" ht="12.75">
      <c r="A148" s="213"/>
      <c r="B148" s="213"/>
      <c r="C148" s="213"/>
      <c r="D148" s="215"/>
      <c r="E148" s="216"/>
      <c r="F148" s="216"/>
      <c r="G148" s="216"/>
      <c r="H148" s="187"/>
      <c r="I148" s="187"/>
      <c r="J148" s="216"/>
      <c r="K148" s="216"/>
      <c r="L148" s="216"/>
      <c r="M148" s="216"/>
      <c r="N148" s="216"/>
      <c r="O148" s="216"/>
      <c r="P148" s="216"/>
    </row>
    <row r="149" spans="1:16" ht="12.75">
      <c r="A149" s="213"/>
      <c r="B149" s="213"/>
      <c r="C149" s="213"/>
      <c r="D149" s="215"/>
      <c r="E149" s="216"/>
      <c r="F149" s="216"/>
      <c r="G149" s="216"/>
      <c r="H149" s="187"/>
      <c r="I149" s="187"/>
      <c r="J149" s="216"/>
      <c r="K149" s="216"/>
      <c r="L149" s="216"/>
      <c r="M149" s="216"/>
      <c r="N149" s="216"/>
      <c r="O149" s="216"/>
      <c r="P149" s="216"/>
    </row>
    <row r="150" spans="1:16" ht="12.75">
      <c r="A150" s="213"/>
      <c r="B150" s="213"/>
      <c r="C150" s="213"/>
      <c r="D150" s="215"/>
      <c r="E150" s="216"/>
      <c r="F150" s="216"/>
      <c r="G150" s="216"/>
      <c r="H150" s="187"/>
      <c r="I150" s="187"/>
      <c r="J150" s="216"/>
      <c r="K150" s="216"/>
      <c r="L150" s="216"/>
      <c r="M150" s="216"/>
      <c r="N150" s="216"/>
      <c r="O150" s="216"/>
      <c r="P150" s="216"/>
    </row>
    <row r="151" spans="1:16" ht="12.75">
      <c r="A151" s="213"/>
      <c r="B151" s="213"/>
      <c r="C151" s="213"/>
      <c r="D151" s="215"/>
      <c r="E151" s="216"/>
      <c r="F151" s="216"/>
      <c r="G151" s="216"/>
      <c r="H151" s="187"/>
      <c r="I151" s="187"/>
      <c r="J151" s="216"/>
      <c r="K151" s="216"/>
      <c r="L151" s="216"/>
      <c r="M151" s="216"/>
      <c r="N151" s="216"/>
      <c r="O151" s="216"/>
      <c r="P151" s="216"/>
    </row>
    <row r="152" spans="1:16" ht="12.75">
      <c r="A152" s="213"/>
      <c r="B152" s="213"/>
      <c r="C152" s="213"/>
      <c r="D152" s="215"/>
      <c r="E152" s="216"/>
      <c r="F152" s="216"/>
      <c r="G152" s="216"/>
      <c r="H152" s="187"/>
      <c r="I152" s="187"/>
      <c r="J152" s="216"/>
      <c r="K152" s="216"/>
      <c r="L152" s="216"/>
      <c r="M152" s="216"/>
      <c r="N152" s="216"/>
      <c r="O152" s="216"/>
      <c r="P152" s="216"/>
    </row>
  </sheetData>
  <sheetProtection selectLockedCells="1" selectUnlockedCells="1"/>
  <mergeCells count="19">
    <mergeCell ref="A7:B7"/>
    <mergeCell ref="I24:J24"/>
    <mergeCell ref="L10:P10"/>
    <mergeCell ref="C16:K16"/>
    <mergeCell ref="C17:K17"/>
    <mergeCell ref="A21:B21"/>
    <mergeCell ref="I21:J21"/>
    <mergeCell ref="C22:G22"/>
    <mergeCell ref="K22:P22"/>
    <mergeCell ref="A1:P1"/>
    <mergeCell ref="A2:P2"/>
    <mergeCell ref="M8:N8"/>
    <mergeCell ref="O8:P8"/>
    <mergeCell ref="A10:A11"/>
    <mergeCell ref="B10:B11"/>
    <mergeCell ref="C10:C11"/>
    <mergeCell ref="D10:D11"/>
    <mergeCell ref="E10:E11"/>
    <mergeCell ref="F10:K10"/>
  </mergeCells>
  <printOptions horizontalCentered="1"/>
  <pageMargins left="0.4597222222222222" right="0.3902777777777778" top="0.7875" bottom="0.5902777777777778" header="0.5118055555555555" footer="0.19652777777777777"/>
  <pageSetup firstPageNumber="1" useFirstPageNumber="1" fitToHeight="11" fitToWidth="1" horizontalDpi="300" verticalDpi="300" orientation="landscape" paperSize="9" scale="65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R160"/>
  <sheetViews>
    <sheetView showZeros="0" view="pageBreakPreview" zoomScale="70" zoomScaleNormal="55" zoomScaleSheetLayoutView="70" zoomScalePageLayoutView="0" workbookViewId="0" topLeftCell="A7">
      <selection activeCell="B21" sqref="B21"/>
    </sheetView>
  </sheetViews>
  <sheetFormatPr defaultColWidth="33.296875" defaultRowHeight="15.75"/>
  <cols>
    <col min="1" max="1" width="4.296875" style="242" customWidth="1"/>
    <col min="2" max="2" width="8.19921875" style="279" customWidth="1"/>
    <col min="3" max="3" width="28.09765625" style="247" customWidth="1"/>
    <col min="4" max="4" width="5.59765625" style="241" customWidth="1"/>
    <col min="5" max="5" width="10.09765625" style="242" customWidth="1"/>
    <col min="6" max="6" width="5.3984375" style="247" customWidth="1"/>
    <col min="7" max="7" width="6.59765625" style="247" customWidth="1"/>
    <col min="8" max="8" width="6.69921875" style="269" customWidth="1"/>
    <col min="9" max="9" width="8.19921875" style="269" customWidth="1"/>
    <col min="10" max="10" width="9.19921875" style="247" customWidth="1"/>
    <col min="11" max="12" width="9.8984375" style="247" customWidth="1"/>
    <col min="13" max="13" width="10.3984375" style="247" customWidth="1"/>
    <col min="14" max="14" width="10.796875" style="247" customWidth="1"/>
    <col min="15" max="15" width="10.296875" style="247" customWidth="1"/>
    <col min="16" max="16" width="11.19921875" style="247" customWidth="1"/>
    <col min="17" max="34" width="10.19921875" style="247" customWidth="1"/>
    <col min="35" max="16384" width="33.296875" style="247" customWidth="1"/>
  </cols>
  <sheetData>
    <row r="1" spans="1:16" s="239" customFormat="1" ht="19.5" customHeight="1">
      <c r="A1" s="437" t="s">
        <v>421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</row>
    <row r="2" spans="1:16" s="239" customFormat="1" ht="19.5" customHeight="1">
      <c r="A2" s="438" t="s">
        <v>422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</row>
    <row r="3" spans="1:16" s="239" customFormat="1" ht="19.5" customHeight="1">
      <c r="A3" s="53" t="str">
        <f>'1-3 (1)'!A3</f>
        <v>Būves nosaukums:     Tautas nama "Kalngravas" rekonstrukcija- 2. kārta </v>
      </c>
      <c r="B3" s="240"/>
      <c r="C3" s="241"/>
      <c r="D3" s="242"/>
      <c r="E3" s="242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</row>
    <row r="4" spans="1:16" s="239" customFormat="1" ht="19.5" customHeight="1">
      <c r="A4" s="53" t="str">
        <f>'1-3 (1)'!A4</f>
        <v>Objekta nosaukums:  Tautas nama "Kalngravas" rekonstrukcija</v>
      </c>
      <c r="B4" s="240"/>
      <c r="C4" s="241"/>
      <c r="D4" s="242"/>
      <c r="E4" s="242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</row>
    <row r="5" spans="1:16" s="239" customFormat="1" ht="19.5" customHeight="1">
      <c r="A5" s="53" t="str">
        <f>'1-3 (1)'!A5</f>
        <v>Būves adrese:  Kalngravas 1, Sarkaņu pagasts, Madonas novads</v>
      </c>
      <c r="B5" s="240"/>
      <c r="C5" s="241"/>
      <c r="D5" s="242"/>
      <c r="E5" s="242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</row>
    <row r="6" spans="1:16" s="239" customFormat="1" ht="19.5" customHeight="1">
      <c r="A6" s="53" t="str">
        <f>'1-3 (1)'!A6</f>
        <v>Pasūtījuma Nr.: </v>
      </c>
      <c r="B6" s="240"/>
      <c r="C6" s="244" t="s">
        <v>845</v>
      </c>
      <c r="D6" s="242"/>
      <c r="E6" s="242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</row>
    <row r="7" spans="1:8" s="4" customFormat="1" ht="25.5" customHeight="1">
      <c r="A7" s="391" t="s">
        <v>852</v>
      </c>
      <c r="B7" s="391"/>
      <c r="C7" s="386"/>
      <c r="D7" s="386"/>
      <c r="E7" s="386"/>
      <c r="F7" s="386"/>
      <c r="G7" s="386"/>
      <c r="H7" s="386"/>
    </row>
    <row r="8" spans="1:16" s="239" customFormat="1" ht="19.5" customHeight="1">
      <c r="A8" s="53" t="str">
        <f>'1-3 (1)'!A8</f>
        <v>Tāme sastādīta 2013. gada tirgus cenās, pamatojoties uz GP, AR, BK daļas rasējumiem</v>
      </c>
      <c r="B8" s="240"/>
      <c r="C8" s="241"/>
      <c r="D8" s="242"/>
      <c r="E8" s="242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</row>
    <row r="9" spans="1:16" s="239" customFormat="1" ht="19.5" customHeight="1">
      <c r="A9" s="444"/>
      <c r="B9" s="445"/>
      <c r="C9" s="241"/>
      <c r="D9" s="242"/>
      <c r="F9" s="243"/>
      <c r="G9" s="243"/>
      <c r="H9" s="243"/>
      <c r="I9" s="243"/>
      <c r="J9" s="243"/>
      <c r="K9" s="245"/>
      <c r="L9" s="243"/>
      <c r="M9" s="439" t="s">
        <v>47</v>
      </c>
      <c r="N9" s="439"/>
      <c r="O9" s="440">
        <f>P25</f>
        <v>0</v>
      </c>
      <c r="P9" s="440"/>
    </row>
    <row r="10" spans="1:16" ht="15" customHeight="1">
      <c r="A10" s="246"/>
      <c r="B10" s="246"/>
      <c r="C10" s="241"/>
      <c r="D10" s="242"/>
      <c r="E10" s="245"/>
      <c r="F10" s="243"/>
      <c r="G10" s="243"/>
      <c r="H10" s="243"/>
      <c r="I10" s="243"/>
      <c r="J10" s="243"/>
      <c r="K10" s="245"/>
      <c r="L10" s="243"/>
      <c r="M10" s="243"/>
      <c r="N10" s="243"/>
      <c r="O10" s="243"/>
      <c r="P10" s="243"/>
    </row>
    <row r="11" spans="1:16" s="239" customFormat="1" ht="19.5" customHeight="1">
      <c r="A11" s="441" t="s">
        <v>4</v>
      </c>
      <c r="B11" s="441" t="s">
        <v>48</v>
      </c>
      <c r="C11" s="442" t="s">
        <v>49</v>
      </c>
      <c r="D11" s="441" t="s">
        <v>50</v>
      </c>
      <c r="E11" s="441" t="s">
        <v>51</v>
      </c>
      <c r="F11" s="443" t="s">
        <v>52</v>
      </c>
      <c r="G11" s="443"/>
      <c r="H11" s="443"/>
      <c r="I11" s="443"/>
      <c r="J11" s="443"/>
      <c r="K11" s="443"/>
      <c r="L11" s="443" t="s">
        <v>53</v>
      </c>
      <c r="M11" s="443"/>
      <c r="N11" s="443"/>
      <c r="O11" s="443"/>
      <c r="P11" s="443"/>
    </row>
    <row r="12" spans="1:16" s="239" customFormat="1" ht="99.75" customHeight="1">
      <c r="A12" s="441"/>
      <c r="B12" s="441"/>
      <c r="C12" s="442"/>
      <c r="D12" s="441"/>
      <c r="E12" s="441"/>
      <c r="F12" s="27" t="s">
        <v>54</v>
      </c>
      <c r="G12" s="27" t="s">
        <v>55</v>
      </c>
      <c r="H12" s="27" t="s">
        <v>56</v>
      </c>
      <c r="I12" s="27" t="s">
        <v>57</v>
      </c>
      <c r="J12" s="27" t="s">
        <v>58</v>
      </c>
      <c r="K12" s="27" t="s">
        <v>59</v>
      </c>
      <c r="L12" s="27" t="s">
        <v>60</v>
      </c>
      <c r="M12" s="27" t="s">
        <v>56</v>
      </c>
      <c r="N12" s="27" t="s">
        <v>57</v>
      </c>
      <c r="O12" s="27" t="s">
        <v>58</v>
      </c>
      <c r="P12" s="27" t="s">
        <v>61</v>
      </c>
    </row>
    <row r="13" spans="1:16" ht="41.25" customHeight="1">
      <c r="A13" s="248">
        <v>1</v>
      </c>
      <c r="B13" s="249"/>
      <c r="C13" s="250" t="s">
        <v>423</v>
      </c>
      <c r="D13" s="251"/>
      <c r="E13" s="252"/>
      <c r="F13" s="253"/>
      <c r="G13" s="253"/>
      <c r="H13" s="254"/>
      <c r="I13" s="255"/>
      <c r="J13" s="255"/>
      <c r="K13" s="255"/>
      <c r="L13" s="256"/>
      <c r="M13" s="255"/>
      <c r="N13" s="255"/>
      <c r="O13" s="255"/>
      <c r="P13" s="255"/>
    </row>
    <row r="14" spans="1:16" ht="41.25" customHeight="1">
      <c r="A14" s="248">
        <v>2</v>
      </c>
      <c r="B14" s="257" t="s">
        <v>424</v>
      </c>
      <c r="C14" s="258" t="s">
        <v>425</v>
      </c>
      <c r="D14" s="259" t="s">
        <v>369</v>
      </c>
      <c r="E14" s="173">
        <v>49.73</v>
      </c>
      <c r="F14" s="260"/>
      <c r="G14" s="261"/>
      <c r="H14" s="261"/>
      <c r="I14" s="261"/>
      <c r="J14" s="261"/>
      <c r="K14" s="261"/>
      <c r="L14" s="261"/>
      <c r="M14" s="261"/>
      <c r="N14" s="261"/>
      <c r="O14" s="261"/>
      <c r="P14" s="261"/>
    </row>
    <row r="15" spans="1:16" ht="41.25" customHeight="1">
      <c r="A15" s="248">
        <v>3</v>
      </c>
      <c r="B15" s="257" t="s">
        <v>426</v>
      </c>
      <c r="C15" s="258" t="s">
        <v>427</v>
      </c>
      <c r="D15" s="259" t="s">
        <v>369</v>
      </c>
      <c r="E15" s="173">
        <v>49.73</v>
      </c>
      <c r="F15" s="260"/>
      <c r="G15" s="261"/>
      <c r="H15" s="261"/>
      <c r="I15" s="261"/>
      <c r="J15" s="261"/>
      <c r="K15" s="261"/>
      <c r="L15" s="261"/>
      <c r="M15" s="261"/>
      <c r="N15" s="261"/>
      <c r="O15" s="261"/>
      <c r="P15" s="261"/>
    </row>
    <row r="16" spans="1:16" ht="41.25" customHeight="1">
      <c r="A16" s="248">
        <v>4</v>
      </c>
      <c r="B16" s="257" t="s">
        <v>428</v>
      </c>
      <c r="C16" s="258" t="s">
        <v>429</v>
      </c>
      <c r="D16" s="259" t="s">
        <v>369</v>
      </c>
      <c r="E16" s="173">
        <v>91.18</v>
      </c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</row>
    <row r="17" spans="1:16" ht="41.25" customHeight="1">
      <c r="A17" s="248">
        <v>5</v>
      </c>
      <c r="B17" s="257" t="s">
        <v>430</v>
      </c>
      <c r="C17" s="258" t="s">
        <v>431</v>
      </c>
      <c r="D17" s="259" t="s">
        <v>369</v>
      </c>
      <c r="E17" s="173">
        <v>49.73</v>
      </c>
      <c r="F17" s="260"/>
      <c r="G17" s="261"/>
      <c r="H17" s="261"/>
      <c r="I17" s="261"/>
      <c r="J17" s="261"/>
      <c r="K17" s="261"/>
      <c r="L17" s="261"/>
      <c r="M17" s="261"/>
      <c r="N17" s="261"/>
      <c r="O17" s="261"/>
      <c r="P17" s="261"/>
    </row>
    <row r="18" spans="1:16" ht="41.25" customHeight="1">
      <c r="A18" s="248">
        <v>6</v>
      </c>
      <c r="B18" s="257" t="s">
        <v>432</v>
      </c>
      <c r="C18" s="258" t="s">
        <v>433</v>
      </c>
      <c r="D18" s="259" t="s">
        <v>369</v>
      </c>
      <c r="E18" s="173">
        <v>91.18</v>
      </c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</row>
    <row r="19" spans="1:16" ht="41.25" customHeight="1">
      <c r="A19" s="248">
        <v>7</v>
      </c>
      <c r="B19" s="257" t="s">
        <v>434</v>
      </c>
      <c r="C19" s="258" t="s">
        <v>435</v>
      </c>
      <c r="D19" s="259" t="s">
        <v>369</v>
      </c>
      <c r="E19" s="173">
        <v>41.45</v>
      </c>
      <c r="F19" s="260"/>
      <c r="G19" s="261"/>
      <c r="H19" s="261"/>
      <c r="I19" s="261"/>
      <c r="J19" s="261"/>
      <c r="K19" s="261"/>
      <c r="L19" s="261"/>
      <c r="M19" s="261"/>
      <c r="N19" s="261"/>
      <c r="O19" s="261"/>
      <c r="P19" s="261"/>
    </row>
    <row r="20" spans="1:16" ht="41.25" customHeight="1">
      <c r="A20" s="248">
        <v>8</v>
      </c>
      <c r="B20" s="257"/>
      <c r="C20" s="250" t="s">
        <v>436</v>
      </c>
      <c r="D20" s="259"/>
      <c r="E20" s="173"/>
      <c r="F20" s="260"/>
      <c r="G20" s="261"/>
      <c r="H20" s="261"/>
      <c r="I20" s="261"/>
      <c r="J20" s="261"/>
      <c r="K20" s="261"/>
      <c r="L20" s="261"/>
      <c r="M20" s="261"/>
      <c r="N20" s="261"/>
      <c r="O20" s="261"/>
      <c r="P20" s="261"/>
    </row>
    <row r="21" spans="1:16" ht="41.25" customHeight="1">
      <c r="A21" s="248">
        <v>9</v>
      </c>
      <c r="B21" s="257" t="s">
        <v>437</v>
      </c>
      <c r="C21" s="63" t="s">
        <v>438</v>
      </c>
      <c r="D21" s="64" t="s">
        <v>369</v>
      </c>
      <c r="E21" s="203">
        <v>4.4</v>
      </c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1:16" ht="41.25" customHeight="1">
      <c r="A22" s="248">
        <v>10</v>
      </c>
      <c r="B22" s="257" t="s">
        <v>439</v>
      </c>
      <c r="C22" s="63" t="s">
        <v>440</v>
      </c>
      <c r="D22" s="64" t="s">
        <v>369</v>
      </c>
      <c r="E22" s="203">
        <v>8.9</v>
      </c>
      <c r="F22" s="66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1:18" ht="30" customHeight="1">
      <c r="A23" s="262"/>
      <c r="B23" s="262"/>
      <c r="C23" s="263" t="s">
        <v>7</v>
      </c>
      <c r="D23" s="263"/>
      <c r="E23" s="263"/>
      <c r="F23" s="263"/>
      <c r="G23" s="263"/>
      <c r="H23" s="263"/>
      <c r="I23" s="263"/>
      <c r="J23" s="263"/>
      <c r="K23" s="263"/>
      <c r="L23" s="264"/>
      <c r="M23" s="264"/>
      <c r="N23" s="264"/>
      <c r="O23" s="264"/>
      <c r="P23" s="264"/>
      <c r="R23" s="265"/>
    </row>
    <row r="24" spans="1:16" ht="30" customHeight="1">
      <c r="A24" s="266"/>
      <c r="B24" s="266"/>
      <c r="C24" s="418" t="s">
        <v>849</v>
      </c>
      <c r="D24" s="418"/>
      <c r="E24" s="418"/>
      <c r="F24" s="418"/>
      <c r="G24" s="418"/>
      <c r="H24" s="418"/>
      <c r="I24" s="418"/>
      <c r="J24" s="418"/>
      <c r="K24" s="418"/>
      <c r="L24" s="267"/>
      <c r="M24" s="267"/>
      <c r="N24" s="267"/>
      <c r="O24" s="267"/>
      <c r="P24" s="268"/>
    </row>
    <row r="25" spans="1:18" ht="30" customHeight="1">
      <c r="A25" s="266"/>
      <c r="B25" s="266"/>
      <c r="C25" s="447" t="s">
        <v>71</v>
      </c>
      <c r="D25" s="447"/>
      <c r="E25" s="447"/>
      <c r="F25" s="447"/>
      <c r="G25" s="447"/>
      <c r="H25" s="447"/>
      <c r="I25" s="447"/>
      <c r="J25" s="447"/>
      <c r="K25" s="447"/>
      <c r="L25" s="267"/>
      <c r="M25" s="267"/>
      <c r="N25" s="267"/>
      <c r="O25" s="267"/>
      <c r="P25" s="268"/>
      <c r="R25" s="269"/>
    </row>
    <row r="26" spans="1:16" ht="15">
      <c r="A26" s="270"/>
      <c r="B26" s="271"/>
      <c r="C26" s="270"/>
      <c r="D26" s="272"/>
      <c r="E26" s="273"/>
      <c r="F26" s="273"/>
      <c r="G26" s="273"/>
      <c r="H26" s="247"/>
      <c r="I26" s="247"/>
      <c r="J26" s="273"/>
      <c r="K26" s="273"/>
      <c r="L26" s="273"/>
      <c r="M26" s="273"/>
      <c r="N26" s="273"/>
      <c r="O26" s="273"/>
      <c r="P26" s="273"/>
    </row>
    <row r="27" spans="1:16" ht="15">
      <c r="A27" s="270"/>
      <c r="B27" s="271"/>
      <c r="C27" s="270"/>
      <c r="D27" s="272"/>
      <c r="E27" s="273"/>
      <c r="F27" s="273"/>
      <c r="G27" s="273"/>
      <c r="H27" s="247"/>
      <c r="I27" s="247"/>
      <c r="J27" s="273"/>
      <c r="K27" s="273"/>
      <c r="L27" s="273"/>
      <c r="M27" s="273"/>
      <c r="N27" s="273"/>
      <c r="O27" s="273"/>
      <c r="P27" s="273"/>
    </row>
    <row r="28" spans="1:16" ht="15">
      <c r="A28" s="270"/>
      <c r="B28" s="271"/>
      <c r="C28" s="270"/>
      <c r="D28" s="272"/>
      <c r="E28" s="273"/>
      <c r="F28" s="273"/>
      <c r="G28" s="273"/>
      <c r="H28" s="247"/>
      <c r="I28" s="247"/>
      <c r="J28" s="273"/>
      <c r="K28" s="273"/>
      <c r="L28" s="273"/>
      <c r="M28" s="273"/>
      <c r="N28" s="273"/>
      <c r="O28" s="273"/>
      <c r="P28" s="273"/>
    </row>
    <row r="29" spans="1:16" ht="20.25" customHeight="1">
      <c r="A29" s="446" t="s">
        <v>9</v>
      </c>
      <c r="B29" s="446"/>
      <c r="C29" s="89"/>
      <c r="D29" s="247"/>
      <c r="E29" s="275">
        <f>'1-1 (1)'!E21</f>
        <v>0</v>
      </c>
      <c r="F29" s="276"/>
      <c r="G29" s="276"/>
      <c r="H29" s="277"/>
      <c r="I29" s="448" t="s">
        <v>72</v>
      </c>
      <c r="J29" s="448"/>
      <c r="K29" s="276"/>
      <c r="L29" s="276"/>
      <c r="M29" s="276"/>
      <c r="N29" s="275">
        <f>'1-1 (1)'!N21</f>
        <v>0</v>
      </c>
      <c r="O29" s="276"/>
      <c r="P29" s="276"/>
    </row>
    <row r="30" spans="1:16" ht="12.75" customHeight="1">
      <c r="A30" s="274"/>
      <c r="B30" s="274"/>
      <c r="C30" s="449" t="s">
        <v>10</v>
      </c>
      <c r="D30" s="449"/>
      <c r="E30" s="449"/>
      <c r="F30" s="449"/>
      <c r="G30" s="449"/>
      <c r="H30" s="247"/>
      <c r="I30" s="242"/>
      <c r="J30" s="242"/>
      <c r="K30" s="450" t="s">
        <v>10</v>
      </c>
      <c r="L30" s="450"/>
      <c r="M30" s="450"/>
      <c r="N30" s="450"/>
      <c r="O30" s="450"/>
      <c r="P30" s="450"/>
    </row>
    <row r="31" spans="1:16" ht="15">
      <c r="A31" s="274"/>
      <c r="B31" s="274"/>
      <c r="C31" s="274"/>
      <c r="D31" s="272"/>
      <c r="E31" s="273"/>
      <c r="F31" s="273"/>
      <c r="G31" s="273"/>
      <c r="H31" s="247"/>
      <c r="I31" s="247"/>
      <c r="J31" s="273"/>
      <c r="K31" s="273"/>
      <c r="L31" s="273"/>
      <c r="M31" s="273"/>
      <c r="N31" s="273"/>
      <c r="O31" s="273"/>
      <c r="P31" s="273"/>
    </row>
    <row r="32" spans="1:16" ht="18.75" customHeight="1">
      <c r="A32" s="87"/>
      <c r="B32" s="274"/>
      <c r="C32" s="87"/>
      <c r="D32" s="278"/>
      <c r="E32" s="273"/>
      <c r="F32" s="273"/>
      <c r="G32" s="273"/>
      <c r="H32" s="247"/>
      <c r="I32" s="446" t="s">
        <v>11</v>
      </c>
      <c r="J32" s="446" t="s">
        <v>11</v>
      </c>
      <c r="K32" s="89">
        <f>'1-1 (1)'!K24</f>
        <v>0</v>
      </c>
      <c r="L32" s="273"/>
      <c r="M32" s="273"/>
      <c r="N32" s="273"/>
      <c r="O32" s="273"/>
      <c r="P32" s="273"/>
    </row>
    <row r="33" spans="1:16" ht="15">
      <c r="A33" s="270"/>
      <c r="B33" s="271"/>
      <c r="C33" s="270"/>
      <c r="D33" s="272"/>
      <c r="E33" s="273"/>
      <c r="F33" s="273"/>
      <c r="G33" s="273"/>
      <c r="H33" s="247"/>
      <c r="I33" s="247"/>
      <c r="J33" s="273"/>
      <c r="K33" s="273"/>
      <c r="L33" s="273"/>
      <c r="M33" s="273"/>
      <c r="N33" s="273"/>
      <c r="O33" s="273"/>
      <c r="P33" s="273"/>
    </row>
    <row r="34" spans="1:16" ht="15">
      <c r="A34" s="270"/>
      <c r="B34" s="271"/>
      <c r="C34" s="270"/>
      <c r="D34" s="272"/>
      <c r="E34" s="273"/>
      <c r="F34" s="273"/>
      <c r="G34" s="273"/>
      <c r="H34" s="247"/>
      <c r="I34" s="247"/>
      <c r="J34" s="273"/>
      <c r="K34" s="273"/>
      <c r="L34" s="273"/>
      <c r="M34" s="273"/>
      <c r="N34" s="273"/>
      <c r="O34" s="273"/>
      <c r="P34" s="273"/>
    </row>
    <row r="35" spans="1:16" ht="15">
      <c r="A35" s="270"/>
      <c r="B35" s="271"/>
      <c r="C35" s="270"/>
      <c r="D35" s="272"/>
      <c r="E35" s="273"/>
      <c r="F35" s="273"/>
      <c r="G35" s="273"/>
      <c r="H35" s="247"/>
      <c r="I35" s="247"/>
      <c r="J35" s="273"/>
      <c r="K35" s="273"/>
      <c r="L35" s="273"/>
      <c r="M35" s="273"/>
      <c r="N35" s="273"/>
      <c r="O35" s="273"/>
      <c r="P35" s="273"/>
    </row>
    <row r="36" spans="1:16" ht="15">
      <c r="A36" s="270"/>
      <c r="B36" s="271"/>
      <c r="C36" s="270"/>
      <c r="D36" s="272"/>
      <c r="E36" s="273"/>
      <c r="F36" s="273"/>
      <c r="G36" s="273"/>
      <c r="H36" s="247"/>
      <c r="I36" s="247"/>
      <c r="J36" s="273"/>
      <c r="K36" s="273"/>
      <c r="L36" s="273"/>
      <c r="M36" s="273"/>
      <c r="N36" s="273"/>
      <c r="O36" s="273"/>
      <c r="P36" s="273"/>
    </row>
    <row r="37" spans="1:16" ht="15">
      <c r="A37" s="270"/>
      <c r="B37" s="271"/>
      <c r="C37" s="270"/>
      <c r="D37" s="272"/>
      <c r="E37" s="273"/>
      <c r="F37" s="273"/>
      <c r="G37" s="273"/>
      <c r="H37" s="247"/>
      <c r="I37" s="247"/>
      <c r="J37" s="273"/>
      <c r="K37" s="273"/>
      <c r="L37" s="273"/>
      <c r="M37" s="273"/>
      <c r="N37" s="273"/>
      <c r="O37" s="273"/>
      <c r="P37" s="273"/>
    </row>
    <row r="38" spans="1:16" ht="15">
      <c r="A38" s="270"/>
      <c r="B38" s="271"/>
      <c r="C38" s="270"/>
      <c r="D38" s="272"/>
      <c r="E38" s="273"/>
      <c r="F38" s="273"/>
      <c r="G38" s="273"/>
      <c r="H38" s="247"/>
      <c r="I38" s="247"/>
      <c r="J38" s="273"/>
      <c r="K38" s="273"/>
      <c r="L38" s="273"/>
      <c r="M38" s="273"/>
      <c r="N38" s="273"/>
      <c r="O38" s="273"/>
      <c r="P38" s="273"/>
    </row>
    <row r="39" spans="1:16" ht="15">
      <c r="A39" s="270"/>
      <c r="B39" s="271"/>
      <c r="C39" s="270"/>
      <c r="D39" s="272"/>
      <c r="E39" s="273"/>
      <c r="F39" s="273"/>
      <c r="G39" s="273"/>
      <c r="H39" s="247"/>
      <c r="I39" s="247"/>
      <c r="J39" s="273"/>
      <c r="K39" s="273"/>
      <c r="L39" s="273"/>
      <c r="M39" s="273"/>
      <c r="N39" s="273"/>
      <c r="O39" s="273"/>
      <c r="P39" s="273"/>
    </row>
    <row r="40" spans="1:16" ht="15">
      <c r="A40" s="270"/>
      <c r="B40" s="271"/>
      <c r="C40" s="270"/>
      <c r="D40" s="272"/>
      <c r="E40" s="273"/>
      <c r="F40" s="273"/>
      <c r="G40" s="273"/>
      <c r="H40" s="247"/>
      <c r="I40" s="247"/>
      <c r="J40" s="273"/>
      <c r="K40" s="273"/>
      <c r="L40" s="273"/>
      <c r="M40" s="273"/>
      <c r="N40" s="273"/>
      <c r="O40" s="273"/>
      <c r="P40" s="273"/>
    </row>
    <row r="41" spans="1:16" ht="15">
      <c r="A41" s="270"/>
      <c r="B41" s="271"/>
      <c r="C41" s="270"/>
      <c r="D41" s="272"/>
      <c r="E41" s="273"/>
      <c r="F41" s="273"/>
      <c r="G41" s="273"/>
      <c r="H41" s="247"/>
      <c r="I41" s="247"/>
      <c r="J41" s="273"/>
      <c r="K41" s="273"/>
      <c r="L41" s="273"/>
      <c r="M41" s="273"/>
      <c r="N41" s="273"/>
      <c r="O41" s="273"/>
      <c r="P41" s="273"/>
    </row>
    <row r="42" spans="1:16" ht="15">
      <c r="A42" s="270"/>
      <c r="B42" s="271"/>
      <c r="C42" s="270"/>
      <c r="D42" s="272"/>
      <c r="E42" s="273"/>
      <c r="F42" s="273"/>
      <c r="G42" s="273"/>
      <c r="H42" s="247"/>
      <c r="I42" s="247"/>
      <c r="J42" s="273"/>
      <c r="K42" s="273"/>
      <c r="L42" s="273"/>
      <c r="M42" s="273"/>
      <c r="N42" s="273"/>
      <c r="O42" s="273"/>
      <c r="P42" s="273"/>
    </row>
    <row r="43" spans="1:16" ht="15">
      <c r="A43" s="270"/>
      <c r="B43" s="271"/>
      <c r="C43" s="270"/>
      <c r="D43" s="272"/>
      <c r="E43" s="273"/>
      <c r="F43" s="273"/>
      <c r="G43" s="273"/>
      <c r="H43" s="247"/>
      <c r="I43" s="247"/>
      <c r="J43" s="273"/>
      <c r="K43" s="273"/>
      <c r="L43" s="273"/>
      <c r="M43" s="273"/>
      <c r="N43" s="273"/>
      <c r="O43" s="273"/>
      <c r="P43" s="273"/>
    </row>
    <row r="44" spans="1:16" ht="15">
      <c r="A44" s="270"/>
      <c r="B44" s="271"/>
      <c r="C44" s="270"/>
      <c r="D44" s="272"/>
      <c r="E44" s="273"/>
      <c r="F44" s="273"/>
      <c r="G44" s="273"/>
      <c r="H44" s="247"/>
      <c r="I44" s="247"/>
      <c r="J44" s="273"/>
      <c r="K44" s="273"/>
      <c r="L44" s="273"/>
      <c r="M44" s="273"/>
      <c r="N44" s="273"/>
      <c r="O44" s="273"/>
      <c r="P44" s="273"/>
    </row>
    <row r="45" spans="1:16" ht="15">
      <c r="A45" s="270"/>
      <c r="B45" s="271"/>
      <c r="C45" s="270"/>
      <c r="D45" s="272"/>
      <c r="E45" s="273"/>
      <c r="F45" s="273"/>
      <c r="G45" s="273"/>
      <c r="H45" s="247"/>
      <c r="I45" s="247"/>
      <c r="J45" s="273"/>
      <c r="K45" s="273"/>
      <c r="L45" s="273"/>
      <c r="M45" s="273"/>
      <c r="N45" s="273"/>
      <c r="O45" s="273"/>
      <c r="P45" s="273"/>
    </row>
    <row r="46" spans="1:16" ht="15">
      <c r="A46" s="270"/>
      <c r="B46" s="271"/>
      <c r="C46" s="270"/>
      <c r="D46" s="272"/>
      <c r="E46" s="273"/>
      <c r="F46" s="273"/>
      <c r="G46" s="273"/>
      <c r="H46" s="247"/>
      <c r="I46" s="247"/>
      <c r="J46" s="273"/>
      <c r="K46" s="273"/>
      <c r="L46" s="273"/>
      <c r="M46" s="273"/>
      <c r="N46" s="273"/>
      <c r="O46" s="273"/>
      <c r="P46" s="273"/>
    </row>
    <row r="47" spans="1:16" ht="15">
      <c r="A47" s="270"/>
      <c r="B47" s="271"/>
      <c r="C47" s="270"/>
      <c r="D47" s="272"/>
      <c r="E47" s="273"/>
      <c r="F47" s="273"/>
      <c r="G47" s="273"/>
      <c r="H47" s="247"/>
      <c r="I47" s="247"/>
      <c r="J47" s="273"/>
      <c r="K47" s="273"/>
      <c r="L47" s="273"/>
      <c r="M47" s="273"/>
      <c r="N47" s="273"/>
      <c r="O47" s="273"/>
      <c r="P47" s="273"/>
    </row>
    <row r="48" spans="1:16" ht="15">
      <c r="A48" s="270"/>
      <c r="B48" s="271"/>
      <c r="C48" s="270"/>
      <c r="D48" s="272"/>
      <c r="E48" s="273"/>
      <c r="F48" s="273"/>
      <c r="G48" s="273"/>
      <c r="H48" s="247"/>
      <c r="I48" s="247"/>
      <c r="J48" s="273"/>
      <c r="K48" s="273"/>
      <c r="L48" s="273"/>
      <c r="M48" s="273"/>
      <c r="N48" s="273"/>
      <c r="O48" s="273"/>
      <c r="P48" s="273"/>
    </row>
    <row r="49" spans="1:16" ht="15">
      <c r="A49" s="270"/>
      <c r="B49" s="271"/>
      <c r="C49" s="270"/>
      <c r="D49" s="272"/>
      <c r="E49" s="273"/>
      <c r="F49" s="273"/>
      <c r="G49" s="273"/>
      <c r="H49" s="247"/>
      <c r="I49" s="247"/>
      <c r="J49" s="273"/>
      <c r="K49" s="273"/>
      <c r="L49" s="273"/>
      <c r="M49" s="273"/>
      <c r="N49" s="273"/>
      <c r="O49" s="273"/>
      <c r="P49" s="273"/>
    </row>
    <row r="50" spans="1:16" ht="15">
      <c r="A50" s="270"/>
      <c r="B50" s="271"/>
      <c r="C50" s="270"/>
      <c r="D50" s="272"/>
      <c r="E50" s="273"/>
      <c r="F50" s="273"/>
      <c r="G50" s="273"/>
      <c r="H50" s="247"/>
      <c r="I50" s="247"/>
      <c r="J50" s="273"/>
      <c r="K50" s="273"/>
      <c r="L50" s="273"/>
      <c r="M50" s="273"/>
      <c r="N50" s="273"/>
      <c r="O50" s="273"/>
      <c r="P50" s="273"/>
    </row>
    <row r="51" spans="1:16" ht="15">
      <c r="A51" s="270"/>
      <c r="B51" s="271"/>
      <c r="C51" s="270"/>
      <c r="D51" s="272"/>
      <c r="E51" s="273"/>
      <c r="F51" s="273"/>
      <c r="G51" s="273"/>
      <c r="H51" s="247"/>
      <c r="I51" s="247"/>
      <c r="J51" s="273"/>
      <c r="K51" s="273"/>
      <c r="L51" s="273"/>
      <c r="M51" s="273"/>
      <c r="N51" s="273"/>
      <c r="O51" s="273"/>
      <c r="P51" s="273"/>
    </row>
    <row r="52" spans="1:16" ht="15">
      <c r="A52" s="270"/>
      <c r="B52" s="271"/>
      <c r="C52" s="270"/>
      <c r="D52" s="272"/>
      <c r="E52" s="273"/>
      <c r="F52" s="273"/>
      <c r="G52" s="273"/>
      <c r="H52" s="247"/>
      <c r="I52" s="247"/>
      <c r="J52" s="273"/>
      <c r="K52" s="273"/>
      <c r="L52" s="273"/>
      <c r="M52" s="273"/>
      <c r="N52" s="273"/>
      <c r="O52" s="273"/>
      <c r="P52" s="273"/>
    </row>
    <row r="53" spans="1:16" ht="15">
      <c r="A53" s="270"/>
      <c r="B53" s="271"/>
      <c r="C53" s="270"/>
      <c r="D53" s="272"/>
      <c r="E53" s="273"/>
      <c r="F53" s="273"/>
      <c r="G53" s="273"/>
      <c r="H53" s="247"/>
      <c r="I53" s="247"/>
      <c r="J53" s="273"/>
      <c r="K53" s="273"/>
      <c r="L53" s="273"/>
      <c r="M53" s="273"/>
      <c r="N53" s="273"/>
      <c r="O53" s="273"/>
      <c r="P53" s="273"/>
    </row>
    <row r="54" spans="1:16" ht="15">
      <c r="A54" s="270"/>
      <c r="B54" s="271"/>
      <c r="C54" s="270"/>
      <c r="D54" s="272"/>
      <c r="E54" s="273"/>
      <c r="F54" s="273"/>
      <c r="G54" s="273"/>
      <c r="H54" s="247"/>
      <c r="I54" s="247"/>
      <c r="J54" s="273"/>
      <c r="K54" s="273"/>
      <c r="L54" s="273"/>
      <c r="M54" s="273"/>
      <c r="N54" s="273"/>
      <c r="O54" s="273"/>
      <c r="P54" s="273"/>
    </row>
    <row r="55" spans="1:16" ht="15">
      <c r="A55" s="270"/>
      <c r="B55" s="271"/>
      <c r="C55" s="270"/>
      <c r="D55" s="272"/>
      <c r="E55" s="273"/>
      <c r="F55" s="273"/>
      <c r="G55" s="273"/>
      <c r="H55" s="247"/>
      <c r="I55" s="247"/>
      <c r="J55" s="273"/>
      <c r="K55" s="273"/>
      <c r="L55" s="273"/>
      <c r="M55" s="273"/>
      <c r="N55" s="273"/>
      <c r="O55" s="273"/>
      <c r="P55" s="273"/>
    </row>
    <row r="56" spans="1:16" ht="15">
      <c r="A56" s="270"/>
      <c r="B56" s="271"/>
      <c r="C56" s="270"/>
      <c r="D56" s="272"/>
      <c r="E56" s="273"/>
      <c r="F56" s="273"/>
      <c r="G56" s="273"/>
      <c r="H56" s="247"/>
      <c r="I56" s="247"/>
      <c r="J56" s="273"/>
      <c r="K56" s="273"/>
      <c r="L56" s="273"/>
      <c r="M56" s="273"/>
      <c r="N56" s="273"/>
      <c r="O56" s="273"/>
      <c r="P56" s="273"/>
    </row>
    <row r="57" spans="1:16" ht="15">
      <c r="A57" s="270"/>
      <c r="B57" s="271"/>
      <c r="C57" s="270"/>
      <c r="D57" s="272"/>
      <c r="E57" s="273"/>
      <c r="F57" s="273"/>
      <c r="G57" s="273"/>
      <c r="H57" s="247"/>
      <c r="I57" s="247"/>
      <c r="J57" s="273"/>
      <c r="K57" s="273"/>
      <c r="L57" s="273"/>
      <c r="M57" s="273"/>
      <c r="N57" s="273"/>
      <c r="O57" s="273"/>
      <c r="P57" s="273"/>
    </row>
    <row r="58" spans="1:16" ht="15">
      <c r="A58" s="270"/>
      <c r="B58" s="271"/>
      <c r="C58" s="270"/>
      <c r="D58" s="272"/>
      <c r="E58" s="273"/>
      <c r="F58" s="273"/>
      <c r="G58" s="273"/>
      <c r="H58" s="247"/>
      <c r="I58" s="247"/>
      <c r="J58" s="273"/>
      <c r="K58" s="273"/>
      <c r="L58" s="273"/>
      <c r="M58" s="273"/>
      <c r="N58" s="273"/>
      <c r="O58" s="273"/>
      <c r="P58" s="273"/>
    </row>
    <row r="59" spans="1:16" ht="15">
      <c r="A59" s="270"/>
      <c r="B59" s="271"/>
      <c r="C59" s="270"/>
      <c r="D59" s="272"/>
      <c r="E59" s="273"/>
      <c r="F59" s="273"/>
      <c r="G59" s="273"/>
      <c r="H59" s="247"/>
      <c r="I59" s="247"/>
      <c r="J59" s="273"/>
      <c r="K59" s="273"/>
      <c r="L59" s="273"/>
      <c r="M59" s="273"/>
      <c r="N59" s="273"/>
      <c r="O59" s="273"/>
      <c r="P59" s="273"/>
    </row>
    <row r="60" spans="1:16" ht="15">
      <c r="A60" s="270"/>
      <c r="B60" s="271"/>
      <c r="C60" s="270"/>
      <c r="D60" s="272"/>
      <c r="E60" s="273"/>
      <c r="F60" s="273"/>
      <c r="G60" s="273"/>
      <c r="H60" s="247"/>
      <c r="I60" s="247"/>
      <c r="J60" s="273"/>
      <c r="K60" s="273"/>
      <c r="L60" s="273"/>
      <c r="M60" s="273"/>
      <c r="N60" s="273"/>
      <c r="O60" s="273"/>
      <c r="P60" s="273"/>
    </row>
    <row r="61" spans="1:16" ht="15">
      <c r="A61" s="270"/>
      <c r="B61" s="271"/>
      <c r="C61" s="270"/>
      <c r="D61" s="272"/>
      <c r="E61" s="273"/>
      <c r="F61" s="273"/>
      <c r="G61" s="273"/>
      <c r="H61" s="247"/>
      <c r="I61" s="247"/>
      <c r="J61" s="273"/>
      <c r="K61" s="273"/>
      <c r="L61" s="273"/>
      <c r="M61" s="273"/>
      <c r="N61" s="273"/>
      <c r="O61" s="273"/>
      <c r="P61" s="273"/>
    </row>
    <row r="62" spans="1:16" ht="15">
      <c r="A62" s="270"/>
      <c r="B62" s="271"/>
      <c r="C62" s="270"/>
      <c r="D62" s="272"/>
      <c r="E62" s="273"/>
      <c r="F62" s="273"/>
      <c r="G62" s="273"/>
      <c r="H62" s="247"/>
      <c r="I62" s="247"/>
      <c r="J62" s="273"/>
      <c r="K62" s="273"/>
      <c r="L62" s="273"/>
      <c r="M62" s="273"/>
      <c r="N62" s="273"/>
      <c r="O62" s="273"/>
      <c r="P62" s="273"/>
    </row>
    <row r="63" spans="1:16" ht="15">
      <c r="A63" s="270"/>
      <c r="B63" s="271"/>
      <c r="C63" s="270"/>
      <c r="D63" s="272"/>
      <c r="E63" s="273"/>
      <c r="F63" s="273"/>
      <c r="G63" s="273"/>
      <c r="H63" s="247"/>
      <c r="I63" s="247"/>
      <c r="J63" s="273"/>
      <c r="K63" s="273"/>
      <c r="L63" s="273"/>
      <c r="M63" s="273"/>
      <c r="N63" s="273"/>
      <c r="O63" s="273"/>
      <c r="P63" s="273"/>
    </row>
    <row r="64" spans="1:16" ht="15">
      <c r="A64" s="270"/>
      <c r="B64" s="271"/>
      <c r="C64" s="270"/>
      <c r="D64" s="272"/>
      <c r="E64" s="273"/>
      <c r="F64" s="273"/>
      <c r="G64" s="273"/>
      <c r="H64" s="247"/>
      <c r="I64" s="247"/>
      <c r="J64" s="273"/>
      <c r="K64" s="273"/>
      <c r="L64" s="273"/>
      <c r="M64" s="273"/>
      <c r="N64" s="273"/>
      <c r="O64" s="273"/>
      <c r="P64" s="273"/>
    </row>
    <row r="65" spans="1:16" ht="15">
      <c r="A65" s="270"/>
      <c r="B65" s="271"/>
      <c r="C65" s="270"/>
      <c r="D65" s="272"/>
      <c r="E65" s="273"/>
      <c r="F65" s="273"/>
      <c r="G65" s="273"/>
      <c r="H65" s="247"/>
      <c r="I65" s="247"/>
      <c r="J65" s="273"/>
      <c r="K65" s="273"/>
      <c r="L65" s="273"/>
      <c r="M65" s="273"/>
      <c r="N65" s="273"/>
      <c r="O65" s="273"/>
      <c r="P65" s="273"/>
    </row>
    <row r="66" spans="1:16" ht="15">
      <c r="A66" s="270"/>
      <c r="B66" s="271"/>
      <c r="C66" s="270"/>
      <c r="D66" s="272"/>
      <c r="E66" s="273"/>
      <c r="F66" s="273"/>
      <c r="G66" s="273"/>
      <c r="H66" s="247"/>
      <c r="I66" s="247"/>
      <c r="J66" s="273"/>
      <c r="K66" s="273"/>
      <c r="L66" s="273"/>
      <c r="M66" s="273"/>
      <c r="N66" s="273"/>
      <c r="O66" s="273"/>
      <c r="P66" s="273"/>
    </row>
    <row r="67" spans="1:16" ht="15">
      <c r="A67" s="270"/>
      <c r="B67" s="271"/>
      <c r="C67" s="270"/>
      <c r="D67" s="272"/>
      <c r="E67" s="273"/>
      <c r="F67" s="273"/>
      <c r="G67" s="273"/>
      <c r="H67" s="247"/>
      <c r="I67" s="247"/>
      <c r="J67" s="273"/>
      <c r="K67" s="273"/>
      <c r="L67" s="273"/>
      <c r="M67" s="273"/>
      <c r="N67" s="273"/>
      <c r="O67" s="273"/>
      <c r="P67" s="273"/>
    </row>
    <row r="68" spans="1:16" ht="15">
      <c r="A68" s="270"/>
      <c r="B68" s="271"/>
      <c r="C68" s="270"/>
      <c r="D68" s="272"/>
      <c r="E68" s="273"/>
      <c r="F68" s="273"/>
      <c r="G68" s="273"/>
      <c r="H68" s="247"/>
      <c r="I68" s="247"/>
      <c r="J68" s="273"/>
      <c r="K68" s="273"/>
      <c r="L68" s="273"/>
      <c r="M68" s="273"/>
      <c r="N68" s="273"/>
      <c r="O68" s="273"/>
      <c r="P68" s="273"/>
    </row>
    <row r="69" spans="1:16" ht="15">
      <c r="A69" s="270"/>
      <c r="B69" s="271"/>
      <c r="C69" s="270"/>
      <c r="D69" s="272"/>
      <c r="E69" s="273"/>
      <c r="F69" s="273"/>
      <c r="G69" s="273"/>
      <c r="H69" s="247"/>
      <c r="I69" s="247"/>
      <c r="J69" s="273"/>
      <c r="K69" s="273"/>
      <c r="L69" s="273"/>
      <c r="M69" s="273"/>
      <c r="N69" s="273"/>
      <c r="O69" s="273"/>
      <c r="P69" s="273"/>
    </row>
    <row r="70" spans="1:16" ht="15">
      <c r="A70" s="270"/>
      <c r="B70" s="271"/>
      <c r="C70" s="270"/>
      <c r="D70" s="272"/>
      <c r="E70" s="273"/>
      <c r="F70" s="273"/>
      <c r="G70" s="273"/>
      <c r="H70" s="247"/>
      <c r="I70" s="247"/>
      <c r="J70" s="273"/>
      <c r="K70" s="273"/>
      <c r="L70" s="273"/>
      <c r="M70" s="273"/>
      <c r="N70" s="273"/>
      <c r="O70" s="273"/>
      <c r="P70" s="273"/>
    </row>
    <row r="71" spans="1:16" ht="15">
      <c r="A71" s="270"/>
      <c r="B71" s="271"/>
      <c r="C71" s="270"/>
      <c r="D71" s="272"/>
      <c r="E71" s="273"/>
      <c r="F71" s="273"/>
      <c r="G71" s="273"/>
      <c r="H71" s="247"/>
      <c r="I71" s="247"/>
      <c r="J71" s="273"/>
      <c r="K71" s="273"/>
      <c r="L71" s="273"/>
      <c r="M71" s="273"/>
      <c r="N71" s="273"/>
      <c r="O71" s="273"/>
      <c r="P71" s="273"/>
    </row>
    <row r="72" spans="1:16" ht="15">
      <c r="A72" s="270"/>
      <c r="B72" s="271"/>
      <c r="C72" s="270"/>
      <c r="D72" s="272"/>
      <c r="E72" s="273"/>
      <c r="F72" s="273"/>
      <c r="G72" s="273"/>
      <c r="H72" s="247"/>
      <c r="I72" s="247"/>
      <c r="J72" s="273"/>
      <c r="K72" s="273"/>
      <c r="L72" s="273"/>
      <c r="M72" s="273"/>
      <c r="N72" s="273"/>
      <c r="O72" s="273"/>
      <c r="P72" s="273"/>
    </row>
    <row r="73" spans="1:16" ht="15">
      <c r="A73" s="270"/>
      <c r="B73" s="271"/>
      <c r="C73" s="270"/>
      <c r="D73" s="272"/>
      <c r="E73" s="273"/>
      <c r="F73" s="273"/>
      <c r="G73" s="273"/>
      <c r="H73" s="247"/>
      <c r="I73" s="247"/>
      <c r="J73" s="273"/>
      <c r="K73" s="273"/>
      <c r="L73" s="273"/>
      <c r="M73" s="273"/>
      <c r="N73" s="273"/>
      <c r="O73" s="273"/>
      <c r="P73" s="273"/>
    </row>
    <row r="74" spans="1:16" ht="15">
      <c r="A74" s="270"/>
      <c r="B74" s="271"/>
      <c r="C74" s="270"/>
      <c r="D74" s="272"/>
      <c r="E74" s="273"/>
      <c r="F74" s="273"/>
      <c r="G74" s="273"/>
      <c r="H74" s="247"/>
      <c r="I74" s="247"/>
      <c r="J74" s="273"/>
      <c r="K74" s="273"/>
      <c r="L74" s="273"/>
      <c r="M74" s="273"/>
      <c r="N74" s="273"/>
      <c r="O74" s="273"/>
      <c r="P74" s="273"/>
    </row>
    <row r="75" spans="1:16" ht="15">
      <c r="A75" s="270"/>
      <c r="B75" s="271"/>
      <c r="C75" s="270"/>
      <c r="D75" s="272"/>
      <c r="E75" s="273"/>
      <c r="F75" s="273"/>
      <c r="G75" s="273"/>
      <c r="H75" s="247"/>
      <c r="I75" s="247"/>
      <c r="J75" s="273"/>
      <c r="K75" s="273"/>
      <c r="L75" s="273"/>
      <c r="M75" s="273"/>
      <c r="N75" s="273"/>
      <c r="O75" s="273"/>
      <c r="P75" s="273"/>
    </row>
    <row r="76" spans="1:16" ht="15">
      <c r="A76" s="270"/>
      <c r="B76" s="271"/>
      <c r="C76" s="270"/>
      <c r="D76" s="272"/>
      <c r="E76" s="273"/>
      <c r="F76" s="273"/>
      <c r="G76" s="273"/>
      <c r="H76" s="247"/>
      <c r="I76" s="247"/>
      <c r="J76" s="273"/>
      <c r="K76" s="273"/>
      <c r="L76" s="273"/>
      <c r="M76" s="273"/>
      <c r="N76" s="273"/>
      <c r="O76" s="273"/>
      <c r="P76" s="273"/>
    </row>
    <row r="77" spans="1:16" ht="15">
      <c r="A77" s="270"/>
      <c r="B77" s="271"/>
      <c r="C77" s="270"/>
      <c r="D77" s="272"/>
      <c r="E77" s="273"/>
      <c r="F77" s="273"/>
      <c r="G77" s="273"/>
      <c r="H77" s="247"/>
      <c r="I77" s="247"/>
      <c r="J77" s="273"/>
      <c r="K77" s="273"/>
      <c r="L77" s="273"/>
      <c r="M77" s="273"/>
      <c r="N77" s="273"/>
      <c r="O77" s="273"/>
      <c r="P77" s="273"/>
    </row>
    <row r="78" spans="1:16" ht="15">
      <c r="A78" s="270"/>
      <c r="B78" s="271"/>
      <c r="C78" s="270"/>
      <c r="D78" s="272"/>
      <c r="E78" s="273"/>
      <c r="F78" s="273"/>
      <c r="G78" s="273"/>
      <c r="H78" s="247"/>
      <c r="I78" s="247"/>
      <c r="J78" s="273"/>
      <c r="K78" s="273"/>
      <c r="L78" s="273"/>
      <c r="M78" s="273"/>
      <c r="N78" s="273"/>
      <c r="O78" s="273"/>
      <c r="P78" s="273"/>
    </row>
    <row r="79" spans="1:16" ht="15">
      <c r="A79" s="270"/>
      <c r="B79" s="271"/>
      <c r="C79" s="270"/>
      <c r="D79" s="272"/>
      <c r="E79" s="273"/>
      <c r="F79" s="273"/>
      <c r="G79" s="273"/>
      <c r="H79" s="247"/>
      <c r="I79" s="247"/>
      <c r="J79" s="273"/>
      <c r="K79" s="273"/>
      <c r="L79" s="273"/>
      <c r="M79" s="273"/>
      <c r="N79" s="273"/>
      <c r="O79" s="273"/>
      <c r="P79" s="273"/>
    </row>
    <row r="80" spans="1:16" ht="15">
      <c r="A80" s="270"/>
      <c r="B80" s="271"/>
      <c r="C80" s="270"/>
      <c r="D80" s="272"/>
      <c r="E80" s="273"/>
      <c r="F80" s="273"/>
      <c r="G80" s="273"/>
      <c r="H80" s="247"/>
      <c r="I80" s="247"/>
      <c r="J80" s="273"/>
      <c r="K80" s="273"/>
      <c r="L80" s="273"/>
      <c r="M80" s="273"/>
      <c r="N80" s="273"/>
      <c r="O80" s="273"/>
      <c r="P80" s="273"/>
    </row>
    <row r="81" spans="1:16" ht="15">
      <c r="A81" s="270"/>
      <c r="B81" s="271"/>
      <c r="C81" s="270"/>
      <c r="D81" s="272"/>
      <c r="E81" s="273"/>
      <c r="F81" s="273"/>
      <c r="G81" s="273"/>
      <c r="H81" s="247"/>
      <c r="I81" s="247"/>
      <c r="J81" s="273"/>
      <c r="K81" s="273"/>
      <c r="L81" s="273"/>
      <c r="M81" s="273"/>
      <c r="N81" s="273"/>
      <c r="O81" s="273"/>
      <c r="P81" s="273"/>
    </row>
    <row r="82" spans="1:16" ht="15">
      <c r="A82" s="270"/>
      <c r="B82" s="271"/>
      <c r="C82" s="270"/>
      <c r="D82" s="272"/>
      <c r="E82" s="273"/>
      <c r="F82" s="273"/>
      <c r="G82" s="273"/>
      <c r="H82" s="247"/>
      <c r="I82" s="247"/>
      <c r="J82" s="273"/>
      <c r="K82" s="273"/>
      <c r="L82" s="273"/>
      <c r="M82" s="273"/>
      <c r="N82" s="273"/>
      <c r="O82" s="273"/>
      <c r="P82" s="273"/>
    </row>
    <row r="83" spans="1:16" ht="15">
      <c r="A83" s="270"/>
      <c r="B83" s="271"/>
      <c r="C83" s="270"/>
      <c r="D83" s="272"/>
      <c r="E83" s="273"/>
      <c r="F83" s="273"/>
      <c r="G83" s="273"/>
      <c r="H83" s="247"/>
      <c r="I83" s="247"/>
      <c r="J83" s="273"/>
      <c r="K83" s="273"/>
      <c r="L83" s="273"/>
      <c r="M83" s="273"/>
      <c r="N83" s="273"/>
      <c r="O83" s="273"/>
      <c r="P83" s="273"/>
    </row>
    <row r="84" spans="1:16" ht="15">
      <c r="A84" s="270"/>
      <c r="B84" s="271"/>
      <c r="C84" s="270"/>
      <c r="D84" s="272"/>
      <c r="E84" s="273"/>
      <c r="F84" s="273"/>
      <c r="G84" s="273"/>
      <c r="H84" s="247"/>
      <c r="I84" s="247"/>
      <c r="J84" s="273"/>
      <c r="K84" s="273"/>
      <c r="L84" s="273"/>
      <c r="M84" s="273"/>
      <c r="N84" s="273"/>
      <c r="O84" s="273"/>
      <c r="P84" s="273"/>
    </row>
    <row r="85" spans="1:16" ht="15">
      <c r="A85" s="270"/>
      <c r="B85" s="271"/>
      <c r="C85" s="270"/>
      <c r="D85" s="272"/>
      <c r="E85" s="273"/>
      <c r="F85" s="273"/>
      <c r="G85" s="273"/>
      <c r="H85" s="247"/>
      <c r="I85" s="247"/>
      <c r="J85" s="273"/>
      <c r="K85" s="273"/>
      <c r="L85" s="273"/>
      <c r="M85" s="273"/>
      <c r="N85" s="273"/>
      <c r="O85" s="273"/>
      <c r="P85" s="273"/>
    </row>
    <row r="86" spans="1:16" ht="15">
      <c r="A86" s="270"/>
      <c r="B86" s="271"/>
      <c r="C86" s="270"/>
      <c r="D86" s="272"/>
      <c r="E86" s="273"/>
      <c r="F86" s="273"/>
      <c r="G86" s="273"/>
      <c r="H86" s="247"/>
      <c r="I86" s="247"/>
      <c r="J86" s="273"/>
      <c r="K86" s="273"/>
      <c r="L86" s="273"/>
      <c r="M86" s="273"/>
      <c r="N86" s="273"/>
      <c r="O86" s="273"/>
      <c r="P86" s="273"/>
    </row>
    <row r="87" spans="1:16" ht="15">
      <c r="A87" s="270"/>
      <c r="B87" s="271"/>
      <c r="C87" s="270"/>
      <c r="D87" s="272"/>
      <c r="E87" s="273"/>
      <c r="F87" s="273"/>
      <c r="G87" s="273"/>
      <c r="H87" s="247"/>
      <c r="I87" s="247"/>
      <c r="J87" s="273"/>
      <c r="K87" s="273"/>
      <c r="L87" s="273"/>
      <c r="M87" s="273"/>
      <c r="N87" s="273"/>
      <c r="O87" s="273"/>
      <c r="P87" s="273"/>
    </row>
    <row r="88" spans="1:16" ht="15">
      <c r="A88" s="270"/>
      <c r="B88" s="271"/>
      <c r="C88" s="270"/>
      <c r="D88" s="272"/>
      <c r="E88" s="273"/>
      <c r="F88" s="273"/>
      <c r="G88" s="273"/>
      <c r="H88" s="247"/>
      <c r="I88" s="247"/>
      <c r="J88" s="273"/>
      <c r="K88" s="273"/>
      <c r="L88" s="273"/>
      <c r="M88" s="273"/>
      <c r="N88" s="273"/>
      <c r="O88" s="273"/>
      <c r="P88" s="273"/>
    </row>
    <row r="89" spans="1:16" ht="15">
      <c r="A89" s="270"/>
      <c r="B89" s="271"/>
      <c r="C89" s="270"/>
      <c r="D89" s="272"/>
      <c r="E89" s="273"/>
      <c r="F89" s="273"/>
      <c r="G89" s="273"/>
      <c r="H89" s="247"/>
      <c r="I89" s="247"/>
      <c r="J89" s="273"/>
      <c r="K89" s="273"/>
      <c r="L89" s="273"/>
      <c r="M89" s="273"/>
      <c r="N89" s="273"/>
      <c r="O89" s="273"/>
      <c r="P89" s="273"/>
    </row>
    <row r="90" spans="1:16" ht="15">
      <c r="A90" s="270"/>
      <c r="B90" s="271"/>
      <c r="C90" s="270"/>
      <c r="D90" s="272"/>
      <c r="E90" s="273"/>
      <c r="F90" s="273"/>
      <c r="G90" s="273"/>
      <c r="H90" s="247"/>
      <c r="I90" s="247"/>
      <c r="J90" s="273"/>
      <c r="K90" s="273"/>
      <c r="L90" s="273"/>
      <c r="M90" s="273"/>
      <c r="N90" s="273"/>
      <c r="O90" s="273"/>
      <c r="P90" s="273"/>
    </row>
    <row r="91" spans="1:16" ht="15">
      <c r="A91" s="270"/>
      <c r="B91" s="271"/>
      <c r="C91" s="270"/>
      <c r="D91" s="272"/>
      <c r="E91" s="273"/>
      <c r="F91" s="273"/>
      <c r="G91" s="273"/>
      <c r="H91" s="247"/>
      <c r="I91" s="247"/>
      <c r="J91" s="273"/>
      <c r="K91" s="273"/>
      <c r="L91" s="273"/>
      <c r="M91" s="273"/>
      <c r="N91" s="273"/>
      <c r="O91" s="273"/>
      <c r="P91" s="273"/>
    </row>
    <row r="92" spans="1:16" ht="15">
      <c r="A92" s="270"/>
      <c r="B92" s="271"/>
      <c r="C92" s="270"/>
      <c r="D92" s="272"/>
      <c r="E92" s="273"/>
      <c r="F92" s="273"/>
      <c r="G92" s="273"/>
      <c r="H92" s="247"/>
      <c r="I92" s="247"/>
      <c r="J92" s="273"/>
      <c r="K92" s="273"/>
      <c r="L92" s="273"/>
      <c r="M92" s="273"/>
      <c r="N92" s="273"/>
      <c r="O92" s="273"/>
      <c r="P92" s="273"/>
    </row>
    <row r="93" spans="1:16" ht="15">
      <c r="A93" s="270"/>
      <c r="B93" s="271"/>
      <c r="C93" s="270"/>
      <c r="D93" s="272"/>
      <c r="E93" s="273"/>
      <c r="F93" s="273"/>
      <c r="G93" s="273"/>
      <c r="H93" s="247"/>
      <c r="I93" s="247"/>
      <c r="J93" s="273"/>
      <c r="K93" s="273"/>
      <c r="L93" s="273"/>
      <c r="M93" s="273"/>
      <c r="N93" s="273"/>
      <c r="O93" s="273"/>
      <c r="P93" s="273"/>
    </row>
    <row r="94" spans="1:16" ht="15">
      <c r="A94" s="270"/>
      <c r="B94" s="271"/>
      <c r="C94" s="270"/>
      <c r="D94" s="272"/>
      <c r="E94" s="273"/>
      <c r="F94" s="273"/>
      <c r="G94" s="273"/>
      <c r="H94" s="247"/>
      <c r="I94" s="247"/>
      <c r="J94" s="273"/>
      <c r="K94" s="273"/>
      <c r="L94" s="273"/>
      <c r="M94" s="273"/>
      <c r="N94" s="273"/>
      <c r="O94" s="273"/>
      <c r="P94" s="273"/>
    </row>
    <row r="95" spans="1:16" ht="15">
      <c r="A95" s="270"/>
      <c r="B95" s="271"/>
      <c r="C95" s="270"/>
      <c r="D95" s="272"/>
      <c r="E95" s="273"/>
      <c r="F95" s="273"/>
      <c r="G95" s="273"/>
      <c r="H95" s="247"/>
      <c r="I95" s="247"/>
      <c r="J95" s="273"/>
      <c r="K95" s="273"/>
      <c r="L95" s="273"/>
      <c r="M95" s="273"/>
      <c r="N95" s="273"/>
      <c r="O95" s="273"/>
      <c r="P95" s="273"/>
    </row>
    <row r="96" spans="1:16" ht="15">
      <c r="A96" s="270"/>
      <c r="B96" s="271"/>
      <c r="C96" s="270"/>
      <c r="D96" s="272"/>
      <c r="E96" s="273"/>
      <c r="F96" s="273"/>
      <c r="G96" s="273"/>
      <c r="H96" s="247"/>
      <c r="I96" s="247"/>
      <c r="J96" s="273"/>
      <c r="K96" s="273"/>
      <c r="L96" s="273"/>
      <c r="M96" s="273"/>
      <c r="N96" s="273"/>
      <c r="O96" s="273"/>
      <c r="P96" s="273"/>
    </row>
    <row r="97" spans="1:16" ht="15">
      <c r="A97" s="270"/>
      <c r="B97" s="271"/>
      <c r="C97" s="270"/>
      <c r="D97" s="272"/>
      <c r="E97" s="273"/>
      <c r="F97" s="273"/>
      <c r="G97" s="273"/>
      <c r="H97" s="247"/>
      <c r="I97" s="247"/>
      <c r="J97" s="273"/>
      <c r="K97" s="273"/>
      <c r="L97" s="273"/>
      <c r="M97" s="273"/>
      <c r="N97" s="273"/>
      <c r="O97" s="273"/>
      <c r="P97" s="273"/>
    </row>
    <row r="98" spans="1:16" ht="15">
      <c r="A98" s="270"/>
      <c r="B98" s="271"/>
      <c r="C98" s="270"/>
      <c r="D98" s="272"/>
      <c r="E98" s="273"/>
      <c r="F98" s="273"/>
      <c r="G98" s="273"/>
      <c r="H98" s="247"/>
      <c r="I98" s="247"/>
      <c r="J98" s="273"/>
      <c r="K98" s="273"/>
      <c r="L98" s="273"/>
      <c r="M98" s="273"/>
      <c r="N98" s="273"/>
      <c r="O98" s="273"/>
      <c r="P98" s="273"/>
    </row>
    <row r="99" spans="1:16" ht="15">
      <c r="A99" s="270"/>
      <c r="B99" s="271"/>
      <c r="C99" s="270"/>
      <c r="D99" s="272"/>
      <c r="E99" s="273"/>
      <c r="F99" s="273"/>
      <c r="G99" s="273"/>
      <c r="H99" s="247"/>
      <c r="I99" s="247"/>
      <c r="J99" s="273"/>
      <c r="K99" s="273"/>
      <c r="L99" s="273"/>
      <c r="M99" s="273"/>
      <c r="N99" s="273"/>
      <c r="O99" s="273"/>
      <c r="P99" s="273"/>
    </row>
    <row r="100" spans="1:16" ht="15">
      <c r="A100" s="270"/>
      <c r="B100" s="271"/>
      <c r="C100" s="270"/>
      <c r="D100" s="272"/>
      <c r="E100" s="273"/>
      <c r="F100" s="273"/>
      <c r="G100" s="273"/>
      <c r="H100" s="247"/>
      <c r="I100" s="247"/>
      <c r="J100" s="273"/>
      <c r="K100" s="273"/>
      <c r="L100" s="273"/>
      <c r="M100" s="273"/>
      <c r="N100" s="273"/>
      <c r="O100" s="273"/>
      <c r="P100" s="273"/>
    </row>
    <row r="101" spans="1:16" ht="15">
      <c r="A101" s="270"/>
      <c r="B101" s="271"/>
      <c r="C101" s="270"/>
      <c r="D101" s="272"/>
      <c r="E101" s="273"/>
      <c r="F101" s="273"/>
      <c r="G101" s="273"/>
      <c r="H101" s="247"/>
      <c r="I101" s="247"/>
      <c r="J101" s="273"/>
      <c r="K101" s="273"/>
      <c r="L101" s="273"/>
      <c r="M101" s="273"/>
      <c r="N101" s="273"/>
      <c r="O101" s="273"/>
      <c r="P101" s="273"/>
    </row>
    <row r="102" spans="1:16" ht="15">
      <c r="A102" s="270"/>
      <c r="B102" s="271"/>
      <c r="C102" s="270"/>
      <c r="D102" s="272"/>
      <c r="E102" s="273"/>
      <c r="F102" s="273"/>
      <c r="G102" s="273"/>
      <c r="H102" s="247"/>
      <c r="I102" s="247"/>
      <c r="J102" s="273"/>
      <c r="K102" s="273"/>
      <c r="L102" s="273"/>
      <c r="M102" s="273"/>
      <c r="N102" s="273"/>
      <c r="O102" s="273"/>
      <c r="P102" s="273"/>
    </row>
    <row r="103" spans="1:16" ht="15">
      <c r="A103" s="270"/>
      <c r="B103" s="271"/>
      <c r="C103" s="270"/>
      <c r="D103" s="272"/>
      <c r="E103" s="273"/>
      <c r="F103" s="273"/>
      <c r="G103" s="273"/>
      <c r="H103" s="247"/>
      <c r="I103" s="247"/>
      <c r="J103" s="273"/>
      <c r="K103" s="273"/>
      <c r="L103" s="273"/>
      <c r="M103" s="273"/>
      <c r="N103" s="273"/>
      <c r="O103" s="273"/>
      <c r="P103" s="273"/>
    </row>
    <row r="104" spans="1:16" ht="15">
      <c r="A104" s="270"/>
      <c r="B104" s="271"/>
      <c r="C104" s="270"/>
      <c r="D104" s="272"/>
      <c r="E104" s="273"/>
      <c r="F104" s="273"/>
      <c r="G104" s="273"/>
      <c r="H104" s="247"/>
      <c r="I104" s="247"/>
      <c r="J104" s="273"/>
      <c r="K104" s="273"/>
      <c r="L104" s="273"/>
      <c r="M104" s="273"/>
      <c r="N104" s="273"/>
      <c r="O104" s="273"/>
      <c r="P104" s="273"/>
    </row>
    <row r="105" spans="1:16" ht="15">
      <c r="A105" s="270"/>
      <c r="B105" s="271"/>
      <c r="C105" s="270"/>
      <c r="D105" s="272"/>
      <c r="E105" s="273"/>
      <c r="F105" s="273"/>
      <c r="G105" s="273"/>
      <c r="H105" s="247"/>
      <c r="I105" s="247"/>
      <c r="J105" s="273"/>
      <c r="K105" s="273"/>
      <c r="L105" s="273"/>
      <c r="M105" s="273"/>
      <c r="N105" s="273"/>
      <c r="O105" s="273"/>
      <c r="P105" s="273"/>
    </row>
    <row r="106" spans="1:16" ht="15">
      <c r="A106" s="270"/>
      <c r="B106" s="271"/>
      <c r="C106" s="270"/>
      <c r="D106" s="272"/>
      <c r="E106" s="273"/>
      <c r="F106" s="273"/>
      <c r="G106" s="273"/>
      <c r="H106" s="247"/>
      <c r="I106" s="247"/>
      <c r="J106" s="273"/>
      <c r="K106" s="273"/>
      <c r="L106" s="273"/>
      <c r="M106" s="273"/>
      <c r="N106" s="273"/>
      <c r="O106" s="273"/>
      <c r="P106" s="273"/>
    </row>
    <row r="107" spans="1:16" ht="15">
      <c r="A107" s="270"/>
      <c r="B107" s="271"/>
      <c r="C107" s="270"/>
      <c r="D107" s="272"/>
      <c r="E107" s="273"/>
      <c r="F107" s="273"/>
      <c r="G107" s="273"/>
      <c r="H107" s="247"/>
      <c r="I107" s="247"/>
      <c r="J107" s="273"/>
      <c r="K107" s="273"/>
      <c r="L107" s="273"/>
      <c r="M107" s="273"/>
      <c r="N107" s="273"/>
      <c r="O107" s="273"/>
      <c r="P107" s="273"/>
    </row>
    <row r="108" spans="1:16" ht="15">
      <c r="A108" s="270"/>
      <c r="B108" s="271"/>
      <c r="C108" s="270"/>
      <c r="D108" s="272"/>
      <c r="E108" s="273"/>
      <c r="F108" s="273"/>
      <c r="G108" s="273"/>
      <c r="H108" s="247"/>
      <c r="I108" s="247"/>
      <c r="J108" s="273"/>
      <c r="K108" s="273"/>
      <c r="L108" s="273"/>
      <c r="M108" s="273"/>
      <c r="N108" s="273"/>
      <c r="O108" s="273"/>
      <c r="P108" s="273"/>
    </row>
    <row r="109" spans="1:16" ht="15">
      <c r="A109" s="270"/>
      <c r="B109" s="271"/>
      <c r="C109" s="270"/>
      <c r="D109" s="272"/>
      <c r="E109" s="273"/>
      <c r="F109" s="273"/>
      <c r="G109" s="273"/>
      <c r="H109" s="247"/>
      <c r="I109" s="247"/>
      <c r="J109" s="273"/>
      <c r="K109" s="273"/>
      <c r="L109" s="273"/>
      <c r="M109" s="273"/>
      <c r="N109" s="273"/>
      <c r="O109" s="273"/>
      <c r="P109" s="273"/>
    </row>
    <row r="110" spans="1:16" ht="15">
      <c r="A110" s="270"/>
      <c r="B110" s="271"/>
      <c r="C110" s="270"/>
      <c r="D110" s="272"/>
      <c r="E110" s="273"/>
      <c r="F110" s="273"/>
      <c r="G110" s="273"/>
      <c r="H110" s="247"/>
      <c r="I110" s="247"/>
      <c r="J110" s="273"/>
      <c r="K110" s="273"/>
      <c r="L110" s="273"/>
      <c r="M110" s="273"/>
      <c r="N110" s="273"/>
      <c r="O110" s="273"/>
      <c r="P110" s="273"/>
    </row>
    <row r="111" spans="1:16" ht="15">
      <c r="A111" s="270"/>
      <c r="B111" s="271"/>
      <c r="C111" s="270"/>
      <c r="D111" s="272"/>
      <c r="E111" s="273"/>
      <c r="F111" s="273"/>
      <c r="G111" s="273"/>
      <c r="H111" s="247"/>
      <c r="I111" s="247"/>
      <c r="J111" s="273"/>
      <c r="K111" s="273"/>
      <c r="L111" s="273"/>
      <c r="M111" s="273"/>
      <c r="N111" s="273"/>
      <c r="O111" s="273"/>
      <c r="P111" s="273"/>
    </row>
    <row r="112" spans="1:16" ht="15">
      <c r="A112" s="270"/>
      <c r="B112" s="271"/>
      <c r="C112" s="270"/>
      <c r="D112" s="272"/>
      <c r="E112" s="273"/>
      <c r="F112" s="273"/>
      <c r="G112" s="273"/>
      <c r="H112" s="247"/>
      <c r="I112" s="247"/>
      <c r="J112" s="273"/>
      <c r="K112" s="273"/>
      <c r="L112" s="273"/>
      <c r="M112" s="273"/>
      <c r="N112" s="273"/>
      <c r="O112" s="273"/>
      <c r="P112" s="273"/>
    </row>
    <row r="113" spans="1:16" ht="15">
      <c r="A113" s="270"/>
      <c r="B113" s="271"/>
      <c r="C113" s="270"/>
      <c r="D113" s="272"/>
      <c r="E113" s="273"/>
      <c r="F113" s="273"/>
      <c r="G113" s="273"/>
      <c r="H113" s="247"/>
      <c r="I113" s="247"/>
      <c r="J113" s="273"/>
      <c r="K113" s="273"/>
      <c r="L113" s="273"/>
      <c r="M113" s="273"/>
      <c r="N113" s="273"/>
      <c r="O113" s="273"/>
      <c r="P113" s="273"/>
    </row>
    <row r="114" spans="1:16" ht="15">
      <c r="A114" s="270"/>
      <c r="B114" s="271"/>
      <c r="C114" s="270"/>
      <c r="D114" s="272"/>
      <c r="E114" s="273"/>
      <c r="F114" s="273"/>
      <c r="G114" s="273"/>
      <c r="H114" s="247"/>
      <c r="I114" s="247"/>
      <c r="J114" s="273"/>
      <c r="K114" s="273"/>
      <c r="L114" s="273"/>
      <c r="M114" s="273"/>
      <c r="N114" s="273"/>
      <c r="O114" s="273"/>
      <c r="P114" s="273"/>
    </row>
    <row r="115" spans="1:16" ht="15">
      <c r="A115" s="270"/>
      <c r="B115" s="271"/>
      <c r="C115" s="270"/>
      <c r="D115" s="272"/>
      <c r="E115" s="273"/>
      <c r="F115" s="273"/>
      <c r="G115" s="273"/>
      <c r="H115" s="247"/>
      <c r="I115" s="247"/>
      <c r="J115" s="273"/>
      <c r="K115" s="273"/>
      <c r="L115" s="273"/>
      <c r="M115" s="273"/>
      <c r="N115" s="273"/>
      <c r="O115" s="273"/>
      <c r="P115" s="273"/>
    </row>
    <row r="116" spans="1:16" ht="15">
      <c r="A116" s="270"/>
      <c r="B116" s="271"/>
      <c r="C116" s="270"/>
      <c r="D116" s="272"/>
      <c r="E116" s="273"/>
      <c r="F116" s="273"/>
      <c r="G116" s="273"/>
      <c r="H116" s="247"/>
      <c r="I116" s="247"/>
      <c r="J116" s="273"/>
      <c r="K116" s="273"/>
      <c r="L116" s="273"/>
      <c r="M116" s="273"/>
      <c r="N116" s="273"/>
      <c r="O116" s="273"/>
      <c r="P116" s="273"/>
    </row>
    <row r="117" spans="1:16" ht="15">
      <c r="A117" s="270"/>
      <c r="B117" s="271"/>
      <c r="C117" s="270"/>
      <c r="D117" s="272"/>
      <c r="E117" s="273"/>
      <c r="F117" s="273"/>
      <c r="G117" s="273"/>
      <c r="H117" s="247"/>
      <c r="I117" s="247"/>
      <c r="J117" s="273"/>
      <c r="K117" s="273"/>
      <c r="L117" s="273"/>
      <c r="M117" s="273"/>
      <c r="N117" s="273"/>
      <c r="O117" s="273"/>
      <c r="P117" s="273"/>
    </row>
    <row r="118" spans="1:16" ht="15">
      <c r="A118" s="270"/>
      <c r="B118" s="271"/>
      <c r="C118" s="270"/>
      <c r="D118" s="272"/>
      <c r="E118" s="273"/>
      <c r="F118" s="273"/>
      <c r="G118" s="273"/>
      <c r="H118" s="247"/>
      <c r="I118" s="247"/>
      <c r="J118" s="273"/>
      <c r="K118" s="273"/>
      <c r="L118" s="273"/>
      <c r="M118" s="273"/>
      <c r="N118" s="273"/>
      <c r="O118" s="273"/>
      <c r="P118" s="273"/>
    </row>
    <row r="119" spans="1:16" ht="15">
      <c r="A119" s="270"/>
      <c r="B119" s="271"/>
      <c r="C119" s="270"/>
      <c r="D119" s="272"/>
      <c r="E119" s="273"/>
      <c r="F119" s="273"/>
      <c r="G119" s="273"/>
      <c r="H119" s="247"/>
      <c r="I119" s="247"/>
      <c r="J119" s="273"/>
      <c r="K119" s="273"/>
      <c r="L119" s="273"/>
      <c r="M119" s="273"/>
      <c r="N119" s="273"/>
      <c r="O119" s="273"/>
      <c r="P119" s="273"/>
    </row>
    <row r="120" spans="1:16" ht="15">
      <c r="A120" s="270"/>
      <c r="B120" s="271"/>
      <c r="C120" s="270"/>
      <c r="D120" s="272"/>
      <c r="E120" s="273"/>
      <c r="F120" s="273"/>
      <c r="G120" s="273"/>
      <c r="H120" s="247"/>
      <c r="I120" s="247"/>
      <c r="J120" s="273"/>
      <c r="K120" s="273"/>
      <c r="L120" s="273"/>
      <c r="M120" s="273"/>
      <c r="N120" s="273"/>
      <c r="O120" s="273"/>
      <c r="P120" s="273"/>
    </row>
    <row r="121" spans="1:16" ht="15">
      <c r="A121" s="270"/>
      <c r="B121" s="271"/>
      <c r="C121" s="270"/>
      <c r="D121" s="272"/>
      <c r="E121" s="273"/>
      <c r="F121" s="273"/>
      <c r="G121" s="273"/>
      <c r="H121" s="247"/>
      <c r="I121" s="247"/>
      <c r="J121" s="273"/>
      <c r="K121" s="273"/>
      <c r="L121" s="273"/>
      <c r="M121" s="273"/>
      <c r="N121" s="273"/>
      <c r="O121" s="273"/>
      <c r="P121" s="273"/>
    </row>
    <row r="122" spans="1:16" ht="15">
      <c r="A122" s="270"/>
      <c r="B122" s="271"/>
      <c r="C122" s="270"/>
      <c r="D122" s="272"/>
      <c r="E122" s="273"/>
      <c r="F122" s="273"/>
      <c r="G122" s="273"/>
      <c r="H122" s="247"/>
      <c r="I122" s="247"/>
      <c r="J122" s="273"/>
      <c r="K122" s="273"/>
      <c r="L122" s="273"/>
      <c r="M122" s="273"/>
      <c r="N122" s="273"/>
      <c r="O122" s="273"/>
      <c r="P122" s="273"/>
    </row>
    <row r="123" spans="1:16" ht="15">
      <c r="A123" s="270"/>
      <c r="B123" s="271"/>
      <c r="C123" s="270"/>
      <c r="D123" s="272"/>
      <c r="E123" s="273"/>
      <c r="F123" s="273"/>
      <c r="G123" s="273"/>
      <c r="H123" s="247"/>
      <c r="I123" s="247"/>
      <c r="J123" s="273"/>
      <c r="K123" s="273"/>
      <c r="L123" s="273"/>
      <c r="M123" s="273"/>
      <c r="N123" s="273"/>
      <c r="O123" s="273"/>
      <c r="P123" s="273"/>
    </row>
    <row r="124" spans="1:16" ht="15">
      <c r="A124" s="270"/>
      <c r="B124" s="271"/>
      <c r="C124" s="270"/>
      <c r="D124" s="272"/>
      <c r="E124" s="273"/>
      <c r="F124" s="273"/>
      <c r="G124" s="273"/>
      <c r="H124" s="247"/>
      <c r="I124" s="247"/>
      <c r="J124" s="273"/>
      <c r="K124" s="273"/>
      <c r="L124" s="273"/>
      <c r="M124" s="273"/>
      <c r="N124" s="273"/>
      <c r="O124" s="273"/>
      <c r="P124" s="273"/>
    </row>
    <row r="125" spans="1:16" ht="15">
      <c r="A125" s="270"/>
      <c r="B125" s="271"/>
      <c r="C125" s="270"/>
      <c r="D125" s="272"/>
      <c r="E125" s="273"/>
      <c r="F125" s="273"/>
      <c r="G125" s="273"/>
      <c r="H125" s="247"/>
      <c r="I125" s="247"/>
      <c r="J125" s="273"/>
      <c r="K125" s="273"/>
      <c r="L125" s="273"/>
      <c r="M125" s="273"/>
      <c r="N125" s="273"/>
      <c r="O125" s="273"/>
      <c r="P125" s="273"/>
    </row>
    <row r="126" spans="1:16" ht="15">
      <c r="A126" s="270"/>
      <c r="B126" s="271"/>
      <c r="C126" s="270"/>
      <c r="D126" s="272"/>
      <c r="E126" s="273"/>
      <c r="F126" s="273"/>
      <c r="G126" s="273"/>
      <c r="H126" s="247"/>
      <c r="I126" s="247"/>
      <c r="J126" s="273"/>
      <c r="K126" s="273"/>
      <c r="L126" s="273"/>
      <c r="M126" s="273"/>
      <c r="N126" s="273"/>
      <c r="O126" s="273"/>
      <c r="P126" s="273"/>
    </row>
    <row r="127" spans="1:16" ht="15">
      <c r="A127" s="270"/>
      <c r="B127" s="271"/>
      <c r="C127" s="270"/>
      <c r="D127" s="272"/>
      <c r="E127" s="273"/>
      <c r="F127" s="273"/>
      <c r="G127" s="273"/>
      <c r="H127" s="247"/>
      <c r="I127" s="247"/>
      <c r="J127" s="273"/>
      <c r="K127" s="273"/>
      <c r="L127" s="273"/>
      <c r="M127" s="273"/>
      <c r="N127" s="273"/>
      <c r="O127" s="273"/>
      <c r="P127" s="273"/>
    </row>
    <row r="128" spans="1:16" ht="15">
      <c r="A128" s="270"/>
      <c r="B128" s="271"/>
      <c r="C128" s="270"/>
      <c r="D128" s="272"/>
      <c r="E128" s="273"/>
      <c r="F128" s="273"/>
      <c r="G128" s="273"/>
      <c r="H128" s="247"/>
      <c r="I128" s="247"/>
      <c r="J128" s="273"/>
      <c r="K128" s="273"/>
      <c r="L128" s="273"/>
      <c r="M128" s="273"/>
      <c r="N128" s="273"/>
      <c r="O128" s="273"/>
      <c r="P128" s="273"/>
    </row>
    <row r="129" spans="1:16" ht="15">
      <c r="A129" s="270"/>
      <c r="B129" s="271"/>
      <c r="C129" s="270"/>
      <c r="D129" s="272"/>
      <c r="E129" s="273"/>
      <c r="F129" s="273"/>
      <c r="G129" s="273"/>
      <c r="H129" s="247"/>
      <c r="I129" s="247"/>
      <c r="J129" s="273"/>
      <c r="K129" s="273"/>
      <c r="L129" s="273"/>
      <c r="M129" s="273"/>
      <c r="N129" s="273"/>
      <c r="O129" s="273"/>
      <c r="P129" s="273"/>
    </row>
    <row r="130" spans="1:16" ht="15">
      <c r="A130" s="270"/>
      <c r="B130" s="271"/>
      <c r="C130" s="270"/>
      <c r="D130" s="272"/>
      <c r="E130" s="273"/>
      <c r="F130" s="273"/>
      <c r="G130" s="273"/>
      <c r="H130" s="247"/>
      <c r="I130" s="247"/>
      <c r="J130" s="273"/>
      <c r="K130" s="273"/>
      <c r="L130" s="273"/>
      <c r="M130" s="273"/>
      <c r="N130" s="273"/>
      <c r="O130" s="273"/>
      <c r="P130" s="273"/>
    </row>
    <row r="131" spans="1:16" ht="15">
      <c r="A131" s="270"/>
      <c r="B131" s="271"/>
      <c r="C131" s="270"/>
      <c r="D131" s="272"/>
      <c r="E131" s="273"/>
      <c r="F131" s="273"/>
      <c r="G131" s="273"/>
      <c r="H131" s="247"/>
      <c r="I131" s="247"/>
      <c r="J131" s="273"/>
      <c r="K131" s="273"/>
      <c r="L131" s="273"/>
      <c r="M131" s="273"/>
      <c r="N131" s="273"/>
      <c r="O131" s="273"/>
      <c r="P131" s="273"/>
    </row>
    <row r="132" spans="1:16" ht="15">
      <c r="A132" s="270"/>
      <c r="B132" s="271"/>
      <c r="C132" s="270"/>
      <c r="D132" s="272"/>
      <c r="E132" s="273"/>
      <c r="F132" s="273"/>
      <c r="G132" s="273"/>
      <c r="H132" s="247"/>
      <c r="I132" s="247"/>
      <c r="J132" s="273"/>
      <c r="K132" s="273"/>
      <c r="L132" s="273"/>
      <c r="M132" s="273"/>
      <c r="N132" s="273"/>
      <c r="O132" s="273"/>
      <c r="P132" s="273"/>
    </row>
    <row r="133" spans="1:16" ht="15">
      <c r="A133" s="270"/>
      <c r="B133" s="271"/>
      <c r="C133" s="270"/>
      <c r="D133" s="272"/>
      <c r="E133" s="273"/>
      <c r="F133" s="273"/>
      <c r="G133" s="273"/>
      <c r="H133" s="247"/>
      <c r="I133" s="247"/>
      <c r="J133" s="273"/>
      <c r="K133" s="273"/>
      <c r="L133" s="273"/>
      <c r="M133" s="273"/>
      <c r="N133" s="273"/>
      <c r="O133" s="273"/>
      <c r="P133" s="273"/>
    </row>
    <row r="134" spans="1:16" ht="15">
      <c r="A134" s="270"/>
      <c r="B134" s="271"/>
      <c r="C134" s="270"/>
      <c r="D134" s="272"/>
      <c r="E134" s="273"/>
      <c r="F134" s="273"/>
      <c r="G134" s="273"/>
      <c r="H134" s="247"/>
      <c r="I134" s="247"/>
      <c r="J134" s="273"/>
      <c r="K134" s="273"/>
      <c r="L134" s="273"/>
      <c r="M134" s="273"/>
      <c r="N134" s="273"/>
      <c r="O134" s="273"/>
      <c r="P134" s="273"/>
    </row>
    <row r="135" spans="1:16" ht="15">
      <c r="A135" s="270"/>
      <c r="B135" s="271"/>
      <c r="C135" s="270"/>
      <c r="D135" s="272"/>
      <c r="E135" s="273"/>
      <c r="F135" s="273"/>
      <c r="G135" s="273"/>
      <c r="H135" s="247"/>
      <c r="I135" s="247"/>
      <c r="J135" s="273"/>
      <c r="K135" s="273"/>
      <c r="L135" s="273"/>
      <c r="M135" s="273"/>
      <c r="N135" s="273"/>
      <c r="O135" s="273"/>
      <c r="P135" s="273"/>
    </row>
    <row r="136" spans="1:16" ht="15">
      <c r="A136" s="270"/>
      <c r="B136" s="271"/>
      <c r="C136" s="270"/>
      <c r="D136" s="272"/>
      <c r="E136" s="273"/>
      <c r="F136" s="273"/>
      <c r="G136" s="273"/>
      <c r="H136" s="247"/>
      <c r="I136" s="247"/>
      <c r="J136" s="273"/>
      <c r="K136" s="273"/>
      <c r="L136" s="273"/>
      <c r="M136" s="273"/>
      <c r="N136" s="273"/>
      <c r="O136" s="273"/>
      <c r="P136" s="273"/>
    </row>
    <row r="137" spans="1:16" ht="15">
      <c r="A137" s="270"/>
      <c r="B137" s="271"/>
      <c r="C137" s="270"/>
      <c r="D137" s="272"/>
      <c r="E137" s="273"/>
      <c r="F137" s="273"/>
      <c r="G137" s="273"/>
      <c r="H137" s="247"/>
      <c r="I137" s="247"/>
      <c r="J137" s="273"/>
      <c r="K137" s="273"/>
      <c r="L137" s="273"/>
      <c r="M137" s="273"/>
      <c r="N137" s="273"/>
      <c r="O137" s="273"/>
      <c r="P137" s="273"/>
    </row>
    <row r="138" spans="1:16" ht="15">
      <c r="A138" s="270"/>
      <c r="B138" s="271"/>
      <c r="C138" s="270"/>
      <c r="D138" s="272"/>
      <c r="E138" s="273"/>
      <c r="F138" s="273"/>
      <c r="G138" s="273"/>
      <c r="H138" s="247"/>
      <c r="I138" s="247"/>
      <c r="J138" s="273"/>
      <c r="K138" s="273"/>
      <c r="L138" s="273"/>
      <c r="M138" s="273"/>
      <c r="N138" s="273"/>
      <c r="O138" s="273"/>
      <c r="P138" s="273"/>
    </row>
    <row r="139" spans="1:16" ht="15">
      <c r="A139" s="270"/>
      <c r="B139" s="271"/>
      <c r="C139" s="270"/>
      <c r="D139" s="272"/>
      <c r="E139" s="273"/>
      <c r="F139" s="273"/>
      <c r="G139" s="273"/>
      <c r="H139" s="247"/>
      <c r="I139" s="247"/>
      <c r="J139" s="273"/>
      <c r="K139" s="273"/>
      <c r="L139" s="273"/>
      <c r="M139" s="273"/>
      <c r="N139" s="273"/>
      <c r="O139" s="273"/>
      <c r="P139" s="273"/>
    </row>
    <row r="140" spans="1:16" ht="15">
      <c r="A140" s="270"/>
      <c r="B140" s="271"/>
      <c r="C140" s="270"/>
      <c r="D140" s="272"/>
      <c r="E140" s="273"/>
      <c r="F140" s="273"/>
      <c r="G140" s="273"/>
      <c r="H140" s="247"/>
      <c r="I140" s="247"/>
      <c r="J140" s="273"/>
      <c r="K140" s="273"/>
      <c r="L140" s="273"/>
      <c r="M140" s="273"/>
      <c r="N140" s="273"/>
      <c r="O140" s="273"/>
      <c r="P140" s="273"/>
    </row>
    <row r="141" spans="1:16" ht="15">
      <c r="A141" s="270"/>
      <c r="B141" s="271"/>
      <c r="C141" s="270"/>
      <c r="D141" s="272"/>
      <c r="E141" s="273"/>
      <c r="F141" s="273"/>
      <c r="G141" s="273"/>
      <c r="H141" s="247"/>
      <c r="I141" s="247"/>
      <c r="J141" s="273"/>
      <c r="K141" s="273"/>
      <c r="L141" s="273"/>
      <c r="M141" s="273"/>
      <c r="N141" s="273"/>
      <c r="O141" s="273"/>
      <c r="P141" s="273"/>
    </row>
    <row r="142" spans="1:16" ht="15">
      <c r="A142" s="270"/>
      <c r="B142" s="271"/>
      <c r="C142" s="270"/>
      <c r="D142" s="272"/>
      <c r="E142" s="273"/>
      <c r="F142" s="273"/>
      <c r="G142" s="273"/>
      <c r="H142" s="247"/>
      <c r="I142" s="247"/>
      <c r="J142" s="273"/>
      <c r="K142" s="273"/>
      <c r="L142" s="273"/>
      <c r="M142" s="273"/>
      <c r="N142" s="273"/>
      <c r="O142" s="273"/>
      <c r="P142" s="273"/>
    </row>
    <row r="143" spans="1:16" ht="15">
      <c r="A143" s="270"/>
      <c r="B143" s="271"/>
      <c r="C143" s="270"/>
      <c r="D143" s="272"/>
      <c r="E143" s="273"/>
      <c r="F143" s="273"/>
      <c r="G143" s="273"/>
      <c r="H143" s="247"/>
      <c r="I143" s="247"/>
      <c r="J143" s="273"/>
      <c r="K143" s="273"/>
      <c r="L143" s="273"/>
      <c r="M143" s="273"/>
      <c r="N143" s="273"/>
      <c r="O143" s="273"/>
      <c r="P143" s="273"/>
    </row>
    <row r="144" spans="1:16" ht="15">
      <c r="A144" s="270"/>
      <c r="B144" s="271"/>
      <c r="C144" s="270"/>
      <c r="D144" s="272"/>
      <c r="E144" s="273"/>
      <c r="F144" s="273"/>
      <c r="G144" s="273"/>
      <c r="H144" s="247"/>
      <c r="I144" s="247"/>
      <c r="J144" s="273"/>
      <c r="K144" s="273"/>
      <c r="L144" s="273"/>
      <c r="M144" s="273"/>
      <c r="N144" s="273"/>
      <c r="O144" s="273"/>
      <c r="P144" s="273"/>
    </row>
    <row r="145" spans="1:16" ht="15">
      <c r="A145" s="270"/>
      <c r="B145" s="271"/>
      <c r="C145" s="270"/>
      <c r="D145" s="272"/>
      <c r="E145" s="273"/>
      <c r="F145" s="273"/>
      <c r="G145" s="273"/>
      <c r="H145" s="247"/>
      <c r="I145" s="247"/>
      <c r="J145" s="273"/>
      <c r="K145" s="273"/>
      <c r="L145" s="273"/>
      <c r="M145" s="273"/>
      <c r="N145" s="273"/>
      <c r="O145" s="273"/>
      <c r="P145" s="273"/>
    </row>
    <row r="146" spans="1:16" ht="15">
      <c r="A146" s="270"/>
      <c r="B146" s="271"/>
      <c r="C146" s="270"/>
      <c r="D146" s="272"/>
      <c r="E146" s="273"/>
      <c r="F146" s="273"/>
      <c r="G146" s="273"/>
      <c r="H146" s="247"/>
      <c r="I146" s="247"/>
      <c r="J146" s="273"/>
      <c r="K146" s="273"/>
      <c r="L146" s="273"/>
      <c r="M146" s="273"/>
      <c r="N146" s="273"/>
      <c r="O146" s="273"/>
      <c r="P146" s="273"/>
    </row>
    <row r="147" spans="1:16" ht="15">
      <c r="A147" s="270"/>
      <c r="B147" s="271"/>
      <c r="C147" s="270"/>
      <c r="D147" s="272"/>
      <c r="E147" s="273"/>
      <c r="F147" s="273"/>
      <c r="G147" s="273"/>
      <c r="H147" s="247"/>
      <c r="I147" s="247"/>
      <c r="J147" s="273"/>
      <c r="K147" s="273"/>
      <c r="L147" s="273"/>
      <c r="M147" s="273"/>
      <c r="N147" s="273"/>
      <c r="O147" s="273"/>
      <c r="P147" s="273"/>
    </row>
    <row r="148" spans="1:16" ht="15">
      <c r="A148" s="270"/>
      <c r="B148" s="271"/>
      <c r="C148" s="270"/>
      <c r="D148" s="272"/>
      <c r="E148" s="273"/>
      <c r="F148" s="273"/>
      <c r="G148" s="273"/>
      <c r="H148" s="247"/>
      <c r="I148" s="247"/>
      <c r="J148" s="273"/>
      <c r="K148" s="273"/>
      <c r="L148" s="273"/>
      <c r="M148" s="273"/>
      <c r="N148" s="273"/>
      <c r="O148" s="273"/>
      <c r="P148" s="273"/>
    </row>
    <row r="149" spans="1:16" ht="15">
      <c r="A149" s="270"/>
      <c r="B149" s="271"/>
      <c r="C149" s="270"/>
      <c r="D149" s="272"/>
      <c r="E149" s="273"/>
      <c r="F149" s="273"/>
      <c r="G149" s="273"/>
      <c r="H149" s="247"/>
      <c r="I149" s="247"/>
      <c r="J149" s="273"/>
      <c r="K149" s="273"/>
      <c r="L149" s="273"/>
      <c r="M149" s="273"/>
      <c r="N149" s="273"/>
      <c r="O149" s="273"/>
      <c r="P149" s="273"/>
    </row>
    <row r="150" spans="1:16" ht="15">
      <c r="A150" s="270"/>
      <c r="B150" s="271"/>
      <c r="C150" s="270"/>
      <c r="D150" s="272"/>
      <c r="E150" s="273"/>
      <c r="F150" s="273"/>
      <c r="G150" s="273"/>
      <c r="H150" s="247"/>
      <c r="I150" s="247"/>
      <c r="J150" s="273"/>
      <c r="K150" s="273"/>
      <c r="L150" s="273"/>
      <c r="M150" s="273"/>
      <c r="N150" s="273"/>
      <c r="O150" s="273"/>
      <c r="P150" s="273"/>
    </row>
    <row r="151" spans="1:16" ht="15">
      <c r="A151" s="270"/>
      <c r="B151" s="271"/>
      <c r="C151" s="270"/>
      <c r="D151" s="272"/>
      <c r="E151" s="273"/>
      <c r="F151" s="273"/>
      <c r="G151" s="273"/>
      <c r="H151" s="247"/>
      <c r="I151" s="247"/>
      <c r="J151" s="273"/>
      <c r="K151" s="273"/>
      <c r="L151" s="273"/>
      <c r="M151" s="273"/>
      <c r="N151" s="273"/>
      <c r="O151" s="273"/>
      <c r="P151" s="273"/>
    </row>
    <row r="152" spans="1:16" ht="15">
      <c r="A152" s="270"/>
      <c r="B152" s="271"/>
      <c r="C152" s="270"/>
      <c r="D152" s="272"/>
      <c r="E152" s="273"/>
      <c r="F152" s="273"/>
      <c r="G152" s="273"/>
      <c r="H152" s="247"/>
      <c r="I152" s="247"/>
      <c r="J152" s="273"/>
      <c r="K152" s="273"/>
      <c r="L152" s="273"/>
      <c r="M152" s="273"/>
      <c r="N152" s="273"/>
      <c r="O152" s="273"/>
      <c r="P152" s="273"/>
    </row>
    <row r="153" spans="1:16" ht="15">
      <c r="A153" s="270"/>
      <c r="B153" s="271"/>
      <c r="C153" s="270"/>
      <c r="D153" s="272"/>
      <c r="E153" s="273"/>
      <c r="F153" s="273"/>
      <c r="G153" s="273"/>
      <c r="H153" s="247"/>
      <c r="I153" s="247"/>
      <c r="J153" s="273"/>
      <c r="K153" s="273"/>
      <c r="L153" s="273"/>
      <c r="M153" s="273"/>
      <c r="N153" s="273"/>
      <c r="O153" s="273"/>
      <c r="P153" s="273"/>
    </row>
    <row r="154" spans="1:16" ht="15">
      <c r="A154" s="270"/>
      <c r="B154" s="271"/>
      <c r="C154" s="270"/>
      <c r="D154" s="272"/>
      <c r="E154" s="273"/>
      <c r="F154" s="273"/>
      <c r="G154" s="273"/>
      <c r="H154" s="247"/>
      <c r="I154" s="247"/>
      <c r="J154" s="273"/>
      <c r="K154" s="273"/>
      <c r="L154" s="273"/>
      <c r="M154" s="273"/>
      <c r="N154" s="273"/>
      <c r="O154" s="273"/>
      <c r="P154" s="273"/>
    </row>
    <row r="155" spans="1:16" ht="15">
      <c r="A155" s="270"/>
      <c r="B155" s="271"/>
      <c r="C155" s="270"/>
      <c r="D155" s="272"/>
      <c r="E155" s="273"/>
      <c r="F155" s="273"/>
      <c r="G155" s="273"/>
      <c r="H155" s="247"/>
      <c r="I155" s="247"/>
      <c r="J155" s="273"/>
      <c r="K155" s="273"/>
      <c r="L155" s="273"/>
      <c r="M155" s="273"/>
      <c r="N155" s="273"/>
      <c r="O155" s="273"/>
      <c r="P155" s="273"/>
    </row>
    <row r="156" spans="1:16" ht="15">
      <c r="A156" s="270"/>
      <c r="B156" s="271"/>
      <c r="C156" s="270"/>
      <c r="D156" s="272"/>
      <c r="E156" s="273"/>
      <c r="F156" s="273"/>
      <c r="G156" s="273"/>
      <c r="H156" s="247"/>
      <c r="I156" s="247"/>
      <c r="J156" s="273"/>
      <c r="K156" s="273"/>
      <c r="L156" s="273"/>
      <c r="M156" s="273"/>
      <c r="N156" s="273"/>
      <c r="O156" s="273"/>
      <c r="P156" s="273"/>
    </row>
    <row r="157" spans="1:16" ht="15">
      <c r="A157" s="270"/>
      <c r="B157" s="271"/>
      <c r="C157" s="270"/>
      <c r="D157" s="272"/>
      <c r="E157" s="273"/>
      <c r="F157" s="273"/>
      <c r="G157" s="273"/>
      <c r="H157" s="247"/>
      <c r="I157" s="247"/>
      <c r="J157" s="273"/>
      <c r="K157" s="273"/>
      <c r="L157" s="273"/>
      <c r="M157" s="273"/>
      <c r="N157" s="273"/>
      <c r="O157" s="273"/>
      <c r="P157" s="273"/>
    </row>
    <row r="158" spans="1:16" ht="15">
      <c r="A158" s="270"/>
      <c r="B158" s="271"/>
      <c r="C158" s="270"/>
      <c r="D158" s="272"/>
      <c r="E158" s="273"/>
      <c r="F158" s="273"/>
      <c r="G158" s="273"/>
      <c r="H158" s="247"/>
      <c r="I158" s="247"/>
      <c r="J158" s="273"/>
      <c r="K158" s="273"/>
      <c r="L158" s="273"/>
      <c r="M158" s="273"/>
      <c r="N158" s="273"/>
      <c r="O158" s="273"/>
      <c r="P158" s="273"/>
    </row>
    <row r="159" spans="1:16" ht="15">
      <c r="A159" s="270"/>
      <c r="B159" s="271"/>
      <c r="C159" s="270"/>
      <c r="D159" s="272"/>
      <c r="E159" s="273"/>
      <c r="F159" s="273"/>
      <c r="G159" s="273"/>
      <c r="H159" s="247"/>
      <c r="I159" s="247"/>
      <c r="J159" s="273"/>
      <c r="K159" s="273"/>
      <c r="L159" s="273"/>
      <c r="M159" s="273"/>
      <c r="N159" s="273"/>
      <c r="O159" s="273"/>
      <c r="P159" s="273"/>
    </row>
    <row r="160" spans="1:16" ht="15">
      <c r="A160" s="270"/>
      <c r="B160" s="271"/>
      <c r="C160" s="270"/>
      <c r="D160" s="272"/>
      <c r="E160" s="273"/>
      <c r="F160" s="273"/>
      <c r="G160" s="273"/>
      <c r="H160" s="247"/>
      <c r="I160" s="247"/>
      <c r="J160" s="273"/>
      <c r="K160" s="273"/>
      <c r="L160" s="273"/>
      <c r="M160" s="273"/>
      <c r="N160" s="273"/>
      <c r="O160" s="273"/>
      <c r="P160" s="273"/>
    </row>
  </sheetData>
  <sheetProtection selectLockedCells="1" selectUnlockedCells="1"/>
  <mergeCells count="20">
    <mergeCell ref="A7:B7"/>
    <mergeCell ref="A9:B9"/>
    <mergeCell ref="I32:J32"/>
    <mergeCell ref="L11:P11"/>
    <mergeCell ref="C24:K24"/>
    <mergeCell ref="C25:K25"/>
    <mergeCell ref="A29:B29"/>
    <mergeCell ref="I29:J29"/>
    <mergeCell ref="C30:G30"/>
    <mergeCell ref="K30:P30"/>
    <mergeCell ref="A1:P1"/>
    <mergeCell ref="A2:P2"/>
    <mergeCell ref="M9:N9"/>
    <mergeCell ref="O9:P9"/>
    <mergeCell ref="A11:A12"/>
    <mergeCell ref="B11:B12"/>
    <mergeCell ref="C11:C12"/>
    <mergeCell ref="D11:D12"/>
    <mergeCell ref="E11:E12"/>
    <mergeCell ref="F11:K11"/>
  </mergeCells>
  <printOptions horizontalCentered="1"/>
  <pageMargins left="0.35" right="0.5701388888888889" top="0.7298611111111111" bottom="0.5" header="0.5118055555555555" footer="0.19652777777777777"/>
  <pageSetup firstPageNumber="1" useFirstPageNumber="1" horizontalDpi="300" verticalDpi="300" orientation="landscape" paperSize="9" scale="5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R153"/>
  <sheetViews>
    <sheetView showZeros="0" view="pageBreakPreview" zoomScale="70" zoomScaleNormal="55" zoomScaleSheetLayoutView="70" zoomScalePageLayoutView="0" workbookViewId="0" topLeftCell="A1">
      <selection activeCell="A7" sqref="A7:IV7"/>
    </sheetView>
  </sheetViews>
  <sheetFormatPr defaultColWidth="37" defaultRowHeight="15.75"/>
  <cols>
    <col min="1" max="1" width="4.796875" style="225" customWidth="1"/>
    <col min="2" max="2" width="11.8984375" style="226" customWidth="1"/>
    <col min="3" max="3" width="29.59765625" style="187" customWidth="1"/>
    <col min="4" max="4" width="6.19921875" style="227" customWidth="1"/>
    <col min="5" max="5" width="9.09765625" style="225" customWidth="1"/>
    <col min="6" max="6" width="6" style="187" customWidth="1"/>
    <col min="7" max="7" width="7.796875" style="187" customWidth="1"/>
    <col min="8" max="8" width="7.3984375" style="228" customWidth="1"/>
    <col min="9" max="9" width="10" style="228" customWidth="1"/>
    <col min="10" max="10" width="7.796875" style="187" customWidth="1"/>
    <col min="11" max="11" width="10.09765625" style="187" customWidth="1"/>
    <col min="12" max="12" width="10.796875" style="187" customWidth="1"/>
    <col min="13" max="13" width="11.59765625" style="187" customWidth="1"/>
    <col min="14" max="14" width="12" style="187" customWidth="1"/>
    <col min="15" max="15" width="11.3984375" style="187" customWidth="1"/>
    <col min="16" max="16" width="11.19921875" style="187" customWidth="1"/>
    <col min="17" max="34" width="11.296875" style="187" customWidth="1"/>
    <col min="35" max="16384" width="37" style="187" customWidth="1"/>
  </cols>
  <sheetData>
    <row r="1" spans="1:16" ht="19.5" customHeight="1">
      <c r="A1" s="425" t="s">
        <v>441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</row>
    <row r="2" spans="1:16" ht="19.5" customHeight="1">
      <c r="A2" s="426" t="s">
        <v>442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</row>
    <row r="3" spans="1:16" ht="19.5" customHeight="1">
      <c r="A3" s="188" t="str">
        <f>'1-3 (1)'!A3</f>
        <v>Būves nosaukums:     Tautas nama "Kalngravas" rekonstrukcija- 2. kārta </v>
      </c>
      <c r="B3" s="188"/>
      <c r="C3" s="189"/>
      <c r="D3" s="190"/>
      <c r="E3" s="190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6" ht="19.5" customHeight="1">
      <c r="A4" s="188" t="str">
        <f>'1-3 (1)'!A4</f>
        <v>Objekta nosaukums:  Tautas nama "Kalngravas" rekonstrukcija</v>
      </c>
      <c r="B4" s="188"/>
      <c r="C4" s="189"/>
      <c r="D4" s="190"/>
      <c r="E4" s="190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</row>
    <row r="5" spans="1:16" ht="19.5" customHeight="1">
      <c r="A5" s="188" t="str">
        <f>'1-3 (1)'!A5</f>
        <v>Būves adrese:  Kalngravas 1, Sarkaņu pagasts, Madonas novads</v>
      </c>
      <c r="B5" s="188"/>
      <c r="C5" s="189"/>
      <c r="D5" s="190"/>
      <c r="E5" s="190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</row>
    <row r="6" spans="1:16" ht="19.5" customHeight="1">
      <c r="A6" s="188" t="str">
        <f>'1-3 (1)'!A6</f>
        <v>Pasūtījuma Nr.: </v>
      </c>
      <c r="B6" s="188"/>
      <c r="C6" s="192" t="s">
        <v>845</v>
      </c>
      <c r="D6" s="190"/>
      <c r="E6" s="190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</row>
    <row r="7" spans="1:8" s="4" customFormat="1" ht="25.5" customHeight="1">
      <c r="A7" s="391" t="s">
        <v>852</v>
      </c>
      <c r="B7" s="391"/>
      <c r="C7" s="386"/>
      <c r="D7" s="386"/>
      <c r="E7" s="386"/>
      <c r="F7" s="386"/>
      <c r="G7" s="386"/>
      <c r="H7" s="386"/>
    </row>
    <row r="8" spans="1:16" ht="19.5" customHeight="1">
      <c r="A8" s="188" t="str">
        <f>'1-3 (1)'!A8</f>
        <v>Tāme sastādīta 2013. gada tirgus cenās, pamatojoties uz GP, AR, BK daļas rasējumiem</v>
      </c>
      <c r="B8" s="188"/>
      <c r="C8" s="189"/>
      <c r="D8" s="190"/>
      <c r="E8" s="190"/>
      <c r="F8" s="191"/>
      <c r="G8" s="191"/>
      <c r="H8" s="191"/>
      <c r="I8" s="191"/>
      <c r="J8" s="191"/>
      <c r="K8" s="191"/>
      <c r="L8" s="191"/>
      <c r="M8" s="427" t="s">
        <v>47</v>
      </c>
      <c r="N8" s="427"/>
      <c r="O8" s="428">
        <f>P18</f>
        <v>0</v>
      </c>
      <c r="P8" s="428"/>
    </row>
    <row r="9" spans="1:16" ht="15" customHeight="1">
      <c r="A9" s="193"/>
      <c r="B9" s="193"/>
      <c r="C9" s="194"/>
      <c r="D9" s="195"/>
      <c r="E9" s="196"/>
      <c r="F9" s="197"/>
      <c r="G9" s="451"/>
      <c r="H9" s="451"/>
      <c r="I9" s="197"/>
      <c r="J9" s="197"/>
      <c r="K9" s="196"/>
      <c r="L9" s="280"/>
      <c r="M9" s="196"/>
      <c r="N9" s="197"/>
      <c r="O9" s="197"/>
      <c r="P9" s="197"/>
    </row>
    <row r="10" spans="1:16" ht="19.5" customHeight="1">
      <c r="A10" s="429" t="s">
        <v>4</v>
      </c>
      <c r="B10" s="429" t="s">
        <v>48</v>
      </c>
      <c r="C10" s="430" t="s">
        <v>49</v>
      </c>
      <c r="D10" s="429" t="s">
        <v>50</v>
      </c>
      <c r="E10" s="429" t="s">
        <v>51</v>
      </c>
      <c r="F10" s="431" t="s">
        <v>52</v>
      </c>
      <c r="G10" s="431"/>
      <c r="H10" s="431"/>
      <c r="I10" s="431"/>
      <c r="J10" s="431"/>
      <c r="K10" s="431"/>
      <c r="L10" s="431" t="s">
        <v>53</v>
      </c>
      <c r="M10" s="431"/>
      <c r="N10" s="431"/>
      <c r="O10" s="431"/>
      <c r="P10" s="431"/>
    </row>
    <row r="11" spans="1:16" ht="99.75" customHeight="1">
      <c r="A11" s="429"/>
      <c r="B11" s="429"/>
      <c r="C11" s="430"/>
      <c r="D11" s="429"/>
      <c r="E11" s="429"/>
      <c r="F11" s="26" t="s">
        <v>54</v>
      </c>
      <c r="G11" s="26" t="s">
        <v>55</v>
      </c>
      <c r="H11" s="26" t="s">
        <v>56</v>
      </c>
      <c r="I11" s="26" t="s">
        <v>57</v>
      </c>
      <c r="J11" s="26" t="s">
        <v>58</v>
      </c>
      <c r="K11" s="26" t="s">
        <v>59</v>
      </c>
      <c r="L11" s="26" t="s">
        <v>60</v>
      </c>
      <c r="M11" s="26" t="s">
        <v>56</v>
      </c>
      <c r="N11" s="26" t="s">
        <v>57</v>
      </c>
      <c r="O11" s="26" t="s">
        <v>58</v>
      </c>
      <c r="P11" s="26" t="s">
        <v>61</v>
      </c>
    </row>
    <row r="12" spans="1:16" s="207" customFormat="1" ht="35.25" customHeight="1">
      <c r="A12" s="198">
        <v>1</v>
      </c>
      <c r="B12" s="200" t="s">
        <v>443</v>
      </c>
      <c r="C12" s="233" t="s">
        <v>842</v>
      </c>
      <c r="D12" s="202" t="s">
        <v>444</v>
      </c>
      <c r="E12" s="203">
        <v>1</v>
      </c>
      <c r="F12" s="204"/>
      <c r="G12" s="205"/>
      <c r="H12" s="205"/>
      <c r="I12" s="205"/>
      <c r="J12" s="205"/>
      <c r="K12" s="205"/>
      <c r="L12" s="205"/>
      <c r="M12" s="205"/>
      <c r="N12" s="205"/>
      <c r="O12" s="205"/>
      <c r="P12" s="205"/>
    </row>
    <row r="13" spans="1:16" s="207" customFormat="1" ht="35.25" customHeight="1">
      <c r="A13" s="198">
        <v>2</v>
      </c>
      <c r="B13" s="200" t="s">
        <v>445</v>
      </c>
      <c r="C13" s="233" t="s">
        <v>446</v>
      </c>
      <c r="D13" s="202" t="s">
        <v>447</v>
      </c>
      <c r="E13" s="203">
        <v>1</v>
      </c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</row>
    <row r="14" spans="1:16" s="207" customFormat="1" ht="35.25" customHeight="1">
      <c r="A14" s="198">
        <v>3</v>
      </c>
      <c r="B14" s="200"/>
      <c r="C14" s="281" t="s">
        <v>448</v>
      </c>
      <c r="D14" s="202"/>
      <c r="E14" s="203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</row>
    <row r="15" spans="1:16" s="207" customFormat="1" ht="35.25" customHeight="1">
      <c r="A15" s="198">
        <v>4</v>
      </c>
      <c r="B15" s="200" t="s">
        <v>449</v>
      </c>
      <c r="C15" s="233" t="s">
        <v>450</v>
      </c>
      <c r="D15" s="202" t="s">
        <v>447</v>
      </c>
      <c r="E15" s="203">
        <v>28</v>
      </c>
      <c r="F15" s="66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1:18" s="207" customFormat="1" ht="30" customHeight="1">
      <c r="A16" s="209"/>
      <c r="B16" s="209"/>
      <c r="C16" s="28" t="s">
        <v>7</v>
      </c>
      <c r="D16" s="28"/>
      <c r="E16" s="28"/>
      <c r="F16" s="28"/>
      <c r="G16" s="28"/>
      <c r="H16" s="28"/>
      <c r="I16" s="28"/>
      <c r="J16" s="28"/>
      <c r="K16" s="28"/>
      <c r="L16" s="29"/>
      <c r="M16" s="29"/>
      <c r="N16" s="29"/>
      <c r="O16" s="29"/>
      <c r="P16" s="29"/>
      <c r="R16" s="210"/>
    </row>
    <row r="17" spans="1:16" s="207" customFormat="1" ht="30" customHeight="1">
      <c r="A17" s="211"/>
      <c r="B17" s="211"/>
      <c r="C17" s="418" t="s">
        <v>849</v>
      </c>
      <c r="D17" s="418"/>
      <c r="E17" s="418"/>
      <c r="F17" s="418"/>
      <c r="G17" s="418"/>
      <c r="H17" s="418"/>
      <c r="I17" s="418"/>
      <c r="J17" s="418"/>
      <c r="K17" s="418"/>
      <c r="L17" s="30"/>
      <c r="M17" s="30"/>
      <c r="N17" s="30"/>
      <c r="O17" s="30"/>
      <c r="P17" s="31"/>
    </row>
    <row r="18" spans="1:18" s="207" customFormat="1" ht="30" customHeight="1">
      <c r="A18" s="211"/>
      <c r="B18" s="211"/>
      <c r="C18" s="433" t="s">
        <v>451</v>
      </c>
      <c r="D18" s="433"/>
      <c r="E18" s="433"/>
      <c r="F18" s="433"/>
      <c r="G18" s="433"/>
      <c r="H18" s="433"/>
      <c r="I18" s="433"/>
      <c r="J18" s="433"/>
      <c r="K18" s="433"/>
      <c r="L18" s="30"/>
      <c r="M18" s="30"/>
      <c r="N18" s="30"/>
      <c r="O18" s="30"/>
      <c r="P18" s="31"/>
      <c r="R18" s="212"/>
    </row>
    <row r="19" spans="1:16" s="207" customFormat="1" ht="15">
      <c r="A19" s="234"/>
      <c r="B19" s="235"/>
      <c r="C19" s="234"/>
      <c r="D19" s="222"/>
      <c r="E19" s="223"/>
      <c r="F19" s="223"/>
      <c r="G19" s="223"/>
      <c r="J19" s="223"/>
      <c r="K19" s="223"/>
      <c r="L19" s="223"/>
      <c r="M19" s="223"/>
      <c r="N19" s="223"/>
      <c r="O19" s="223"/>
      <c r="P19" s="223"/>
    </row>
    <row r="20" spans="1:16" ht="12.75">
      <c r="A20" s="213"/>
      <c r="B20" s="214"/>
      <c r="C20" s="213"/>
      <c r="D20" s="215"/>
      <c r="E20" s="216"/>
      <c r="F20" s="216"/>
      <c r="G20" s="216"/>
      <c r="H20" s="187"/>
      <c r="I20" s="187"/>
      <c r="J20" s="216"/>
      <c r="K20" s="216"/>
      <c r="L20" s="216"/>
      <c r="M20" s="216"/>
      <c r="N20" s="216"/>
      <c r="O20" s="216"/>
      <c r="P20" s="216"/>
    </row>
    <row r="21" spans="1:16" ht="12.75">
      <c r="A21" s="213"/>
      <c r="B21" s="214"/>
      <c r="C21" s="213"/>
      <c r="D21" s="215"/>
      <c r="E21" s="216"/>
      <c r="F21" s="216"/>
      <c r="G21" s="216"/>
      <c r="H21" s="187"/>
      <c r="I21" s="187"/>
      <c r="J21" s="216"/>
      <c r="K21" s="216"/>
      <c r="L21" s="216"/>
      <c r="M21" s="216"/>
      <c r="N21" s="216"/>
      <c r="O21" s="216"/>
      <c r="P21" s="216"/>
    </row>
    <row r="22" spans="1:16" s="207" customFormat="1" ht="15" customHeight="1">
      <c r="A22" s="432" t="s">
        <v>9</v>
      </c>
      <c r="B22" s="432"/>
      <c r="C22" s="218"/>
      <c r="E22" s="219">
        <f>'1-1 (1)'!E21</f>
        <v>0</v>
      </c>
      <c r="F22" s="220"/>
      <c r="G22" s="220"/>
      <c r="H22" s="221"/>
      <c r="I22" s="434" t="s">
        <v>72</v>
      </c>
      <c r="J22" s="434"/>
      <c r="K22" s="220"/>
      <c r="L22" s="220"/>
      <c r="M22" s="220"/>
      <c r="N22" s="219">
        <f>'1-1 (1)'!N21</f>
        <v>0</v>
      </c>
      <c r="O22" s="220"/>
      <c r="P22" s="220"/>
    </row>
    <row r="23" spans="1:16" s="207" customFormat="1" ht="15" customHeight="1">
      <c r="A23" s="217"/>
      <c r="B23" s="217"/>
      <c r="C23" s="435" t="s">
        <v>10</v>
      </c>
      <c r="D23" s="435"/>
      <c r="E23" s="435"/>
      <c r="F23" s="435"/>
      <c r="G23" s="435"/>
      <c r="I23" s="190"/>
      <c r="J23" s="190"/>
      <c r="K23" s="436" t="s">
        <v>10</v>
      </c>
      <c r="L23" s="436"/>
      <c r="M23" s="436"/>
      <c r="N23" s="436"/>
      <c r="O23" s="436"/>
      <c r="P23" s="436"/>
    </row>
    <row r="24" spans="1:16" s="207" customFormat="1" ht="15">
      <c r="A24" s="217"/>
      <c r="B24" s="217"/>
      <c r="C24" s="217"/>
      <c r="D24" s="222"/>
      <c r="E24" s="223"/>
      <c r="F24" s="223"/>
      <c r="G24" s="223"/>
      <c r="J24" s="223"/>
      <c r="K24" s="223"/>
      <c r="L24" s="223"/>
      <c r="M24" s="223"/>
      <c r="N24" s="223"/>
      <c r="O24" s="223"/>
      <c r="P24" s="223"/>
    </row>
    <row r="25" spans="1:16" s="207" customFormat="1" ht="12.75" customHeight="1">
      <c r="A25" s="87"/>
      <c r="B25" s="217"/>
      <c r="C25" s="87"/>
      <c r="D25" s="224"/>
      <c r="E25" s="223"/>
      <c r="F25" s="223"/>
      <c r="G25" s="223"/>
      <c r="I25" s="432" t="s">
        <v>11</v>
      </c>
      <c r="J25" s="432"/>
      <c r="K25" s="218">
        <f>'1-1 (1)'!K24</f>
        <v>0</v>
      </c>
      <c r="L25" s="223"/>
      <c r="M25" s="223"/>
      <c r="N25" s="223"/>
      <c r="O25" s="223"/>
      <c r="P25" s="223"/>
    </row>
    <row r="26" spans="1:16" ht="12.75">
      <c r="A26" s="213"/>
      <c r="B26" s="214"/>
      <c r="C26" s="213"/>
      <c r="D26" s="215"/>
      <c r="E26" s="216"/>
      <c r="F26" s="216"/>
      <c r="G26" s="216"/>
      <c r="H26" s="187"/>
      <c r="I26" s="187"/>
      <c r="J26" s="216"/>
      <c r="K26" s="216"/>
      <c r="L26" s="216"/>
      <c r="M26" s="216"/>
      <c r="N26" s="216"/>
      <c r="O26" s="216"/>
      <c r="P26" s="216"/>
    </row>
    <row r="27" spans="1:16" ht="12.75">
      <c r="A27" s="213"/>
      <c r="B27" s="214"/>
      <c r="C27" s="213"/>
      <c r="D27" s="215"/>
      <c r="E27" s="216"/>
      <c r="F27" s="216"/>
      <c r="G27" s="216"/>
      <c r="H27" s="187"/>
      <c r="I27" s="187"/>
      <c r="J27" s="216"/>
      <c r="K27" s="216"/>
      <c r="L27" s="216"/>
      <c r="M27" s="216"/>
      <c r="N27" s="216"/>
      <c r="O27" s="216"/>
      <c r="P27" s="216"/>
    </row>
    <row r="28" spans="1:16" ht="12.75">
      <c r="A28" s="213"/>
      <c r="B28" s="214"/>
      <c r="C28" s="213"/>
      <c r="D28" s="215"/>
      <c r="E28" s="216"/>
      <c r="F28" s="216"/>
      <c r="G28" s="216"/>
      <c r="H28" s="187"/>
      <c r="I28" s="187"/>
      <c r="J28" s="216"/>
      <c r="K28" s="216"/>
      <c r="L28" s="216"/>
      <c r="M28" s="216"/>
      <c r="N28" s="216"/>
      <c r="O28" s="216"/>
      <c r="P28" s="216"/>
    </row>
    <row r="29" spans="1:16" ht="12.75">
      <c r="A29" s="213"/>
      <c r="B29" s="214"/>
      <c r="C29" s="213"/>
      <c r="D29" s="215"/>
      <c r="E29" s="216"/>
      <c r="F29" s="216"/>
      <c r="G29" s="216"/>
      <c r="H29" s="187"/>
      <c r="I29" s="187"/>
      <c r="J29" s="216"/>
      <c r="K29" s="216"/>
      <c r="L29" s="216"/>
      <c r="M29" s="216"/>
      <c r="N29" s="216"/>
      <c r="O29" s="216"/>
      <c r="P29" s="216"/>
    </row>
    <row r="30" spans="1:16" ht="12.75">
      <c r="A30" s="213"/>
      <c r="B30" s="214"/>
      <c r="C30" s="213"/>
      <c r="D30" s="215"/>
      <c r="E30" s="216"/>
      <c r="F30" s="216"/>
      <c r="G30" s="216"/>
      <c r="H30" s="187"/>
      <c r="I30" s="187"/>
      <c r="J30" s="216"/>
      <c r="K30" s="216"/>
      <c r="L30" s="216"/>
      <c r="M30" s="216"/>
      <c r="N30" s="216"/>
      <c r="O30" s="216"/>
      <c r="P30" s="216"/>
    </row>
    <row r="31" spans="1:16" ht="12.75">
      <c r="A31" s="213"/>
      <c r="B31" s="214"/>
      <c r="C31" s="213"/>
      <c r="D31" s="215"/>
      <c r="E31" s="216"/>
      <c r="F31" s="216"/>
      <c r="G31" s="216"/>
      <c r="H31" s="187"/>
      <c r="I31" s="187"/>
      <c r="J31" s="216"/>
      <c r="K31" s="216"/>
      <c r="L31" s="216"/>
      <c r="M31" s="216"/>
      <c r="N31" s="216"/>
      <c r="O31" s="216"/>
      <c r="P31" s="216"/>
    </row>
    <row r="32" spans="1:16" ht="12.75">
      <c r="A32" s="213"/>
      <c r="B32" s="214"/>
      <c r="C32" s="213"/>
      <c r="D32" s="215"/>
      <c r="E32" s="216"/>
      <c r="F32" s="216"/>
      <c r="G32" s="216"/>
      <c r="H32" s="187"/>
      <c r="I32" s="187"/>
      <c r="J32" s="216"/>
      <c r="K32" s="216"/>
      <c r="L32" s="216"/>
      <c r="M32" s="216"/>
      <c r="N32" s="216"/>
      <c r="O32" s="216"/>
      <c r="P32" s="216"/>
    </row>
    <row r="33" spans="1:16" ht="12.75">
      <c r="A33" s="213"/>
      <c r="B33" s="214"/>
      <c r="C33" s="213"/>
      <c r="D33" s="215"/>
      <c r="E33" s="216"/>
      <c r="F33" s="216"/>
      <c r="G33" s="216"/>
      <c r="H33" s="187"/>
      <c r="I33" s="187"/>
      <c r="J33" s="216"/>
      <c r="K33" s="216"/>
      <c r="L33" s="216"/>
      <c r="M33" s="216"/>
      <c r="N33" s="216"/>
      <c r="O33" s="216"/>
      <c r="P33" s="216"/>
    </row>
    <row r="34" spans="1:16" ht="12.75">
      <c r="A34" s="213"/>
      <c r="B34" s="214"/>
      <c r="C34" s="213"/>
      <c r="D34" s="215"/>
      <c r="E34" s="216"/>
      <c r="F34" s="216"/>
      <c r="G34" s="216"/>
      <c r="H34" s="187"/>
      <c r="I34" s="187"/>
      <c r="J34" s="216"/>
      <c r="K34" s="216"/>
      <c r="L34" s="216"/>
      <c r="M34" s="216"/>
      <c r="N34" s="216"/>
      <c r="O34" s="216"/>
      <c r="P34" s="216"/>
    </row>
    <row r="35" spans="1:16" ht="12.75">
      <c r="A35" s="213"/>
      <c r="B35" s="214"/>
      <c r="C35" s="213"/>
      <c r="D35" s="215"/>
      <c r="E35" s="216"/>
      <c r="F35" s="216"/>
      <c r="G35" s="216"/>
      <c r="H35" s="187"/>
      <c r="I35" s="187"/>
      <c r="J35" s="216"/>
      <c r="K35" s="216"/>
      <c r="L35" s="216"/>
      <c r="M35" s="216"/>
      <c r="N35" s="216"/>
      <c r="O35" s="216"/>
      <c r="P35" s="216"/>
    </row>
    <row r="36" spans="1:16" ht="12.75">
      <c r="A36" s="213"/>
      <c r="B36" s="214"/>
      <c r="C36" s="213"/>
      <c r="D36" s="215"/>
      <c r="E36" s="216"/>
      <c r="F36" s="216"/>
      <c r="G36" s="216"/>
      <c r="H36" s="187"/>
      <c r="I36" s="187"/>
      <c r="J36" s="216"/>
      <c r="K36" s="216"/>
      <c r="L36" s="216"/>
      <c r="M36" s="216"/>
      <c r="N36" s="216"/>
      <c r="O36" s="216"/>
      <c r="P36" s="216"/>
    </row>
    <row r="37" spans="1:16" ht="12.75">
      <c r="A37" s="213"/>
      <c r="B37" s="214"/>
      <c r="C37" s="213"/>
      <c r="D37" s="215"/>
      <c r="E37" s="216"/>
      <c r="F37" s="216"/>
      <c r="G37" s="216"/>
      <c r="H37" s="187"/>
      <c r="I37" s="187"/>
      <c r="J37" s="216"/>
      <c r="K37" s="216"/>
      <c r="L37" s="216"/>
      <c r="M37" s="216"/>
      <c r="N37" s="216"/>
      <c r="O37" s="216"/>
      <c r="P37" s="216"/>
    </row>
    <row r="38" spans="1:16" ht="12.75">
      <c r="A38" s="213"/>
      <c r="B38" s="214"/>
      <c r="C38" s="213"/>
      <c r="D38" s="215"/>
      <c r="E38" s="216"/>
      <c r="F38" s="216"/>
      <c r="G38" s="216"/>
      <c r="H38" s="187"/>
      <c r="I38" s="187"/>
      <c r="J38" s="216"/>
      <c r="K38" s="216"/>
      <c r="L38" s="216"/>
      <c r="M38" s="216"/>
      <c r="N38" s="216"/>
      <c r="O38" s="216"/>
      <c r="P38" s="216"/>
    </row>
    <row r="39" spans="1:16" ht="12.75">
      <c r="A39" s="213"/>
      <c r="B39" s="214"/>
      <c r="C39" s="213"/>
      <c r="D39" s="215"/>
      <c r="E39" s="216"/>
      <c r="F39" s="216"/>
      <c r="G39" s="216"/>
      <c r="H39" s="187"/>
      <c r="I39" s="187"/>
      <c r="J39" s="216"/>
      <c r="K39" s="216"/>
      <c r="L39" s="216"/>
      <c r="M39" s="216"/>
      <c r="N39" s="216"/>
      <c r="O39" s="216"/>
      <c r="P39" s="216"/>
    </row>
    <row r="40" spans="1:16" ht="12.75">
      <c r="A40" s="213"/>
      <c r="B40" s="214"/>
      <c r="C40" s="213"/>
      <c r="D40" s="215"/>
      <c r="E40" s="216"/>
      <c r="F40" s="216"/>
      <c r="G40" s="216"/>
      <c r="H40" s="187"/>
      <c r="I40" s="187"/>
      <c r="J40" s="216"/>
      <c r="K40" s="216"/>
      <c r="L40" s="216"/>
      <c r="M40" s="216"/>
      <c r="N40" s="216"/>
      <c r="O40" s="216"/>
      <c r="P40" s="216"/>
    </row>
    <row r="41" spans="1:16" ht="12.75">
      <c r="A41" s="213"/>
      <c r="B41" s="214"/>
      <c r="C41" s="213"/>
      <c r="D41" s="215"/>
      <c r="E41" s="216"/>
      <c r="F41" s="216"/>
      <c r="G41" s="216"/>
      <c r="H41" s="187"/>
      <c r="I41" s="187"/>
      <c r="J41" s="216"/>
      <c r="K41" s="216"/>
      <c r="L41" s="216"/>
      <c r="M41" s="216"/>
      <c r="N41" s="216"/>
      <c r="O41" s="216"/>
      <c r="P41" s="216"/>
    </row>
    <row r="42" spans="1:16" ht="12.75">
      <c r="A42" s="213"/>
      <c r="B42" s="214"/>
      <c r="C42" s="213"/>
      <c r="D42" s="215"/>
      <c r="E42" s="216"/>
      <c r="F42" s="216"/>
      <c r="G42" s="216"/>
      <c r="H42" s="187"/>
      <c r="I42" s="187"/>
      <c r="J42" s="216"/>
      <c r="K42" s="216"/>
      <c r="L42" s="216"/>
      <c r="M42" s="216"/>
      <c r="N42" s="216"/>
      <c r="O42" s="216"/>
      <c r="P42" s="216"/>
    </row>
    <row r="43" spans="1:16" ht="12.75">
      <c r="A43" s="213"/>
      <c r="B43" s="214"/>
      <c r="C43" s="213"/>
      <c r="D43" s="215"/>
      <c r="E43" s="216"/>
      <c r="F43" s="216"/>
      <c r="G43" s="216"/>
      <c r="H43" s="187"/>
      <c r="I43" s="187"/>
      <c r="J43" s="216"/>
      <c r="K43" s="216"/>
      <c r="L43" s="216"/>
      <c r="M43" s="216"/>
      <c r="N43" s="216"/>
      <c r="O43" s="216"/>
      <c r="P43" s="216"/>
    </row>
    <row r="44" spans="1:16" ht="12.75">
      <c r="A44" s="213"/>
      <c r="B44" s="214"/>
      <c r="C44" s="213"/>
      <c r="D44" s="215"/>
      <c r="E44" s="216"/>
      <c r="F44" s="216"/>
      <c r="G44" s="216"/>
      <c r="H44" s="187"/>
      <c r="I44" s="187"/>
      <c r="J44" s="216"/>
      <c r="K44" s="216"/>
      <c r="L44" s="216"/>
      <c r="M44" s="216"/>
      <c r="N44" s="216"/>
      <c r="O44" s="216"/>
      <c r="P44" s="216"/>
    </row>
    <row r="45" spans="1:16" ht="12.75">
      <c r="A45" s="213"/>
      <c r="B45" s="214"/>
      <c r="C45" s="213"/>
      <c r="D45" s="215"/>
      <c r="E45" s="216"/>
      <c r="F45" s="216"/>
      <c r="G45" s="216"/>
      <c r="H45" s="187"/>
      <c r="I45" s="187"/>
      <c r="J45" s="216"/>
      <c r="K45" s="216"/>
      <c r="L45" s="216"/>
      <c r="M45" s="216"/>
      <c r="N45" s="216"/>
      <c r="O45" s="216"/>
      <c r="P45" s="216"/>
    </row>
    <row r="46" spans="1:16" ht="12.75">
      <c r="A46" s="213"/>
      <c r="B46" s="214"/>
      <c r="C46" s="213"/>
      <c r="D46" s="215"/>
      <c r="E46" s="216"/>
      <c r="F46" s="216"/>
      <c r="G46" s="216"/>
      <c r="H46" s="187"/>
      <c r="I46" s="187"/>
      <c r="J46" s="216"/>
      <c r="K46" s="216"/>
      <c r="L46" s="216"/>
      <c r="M46" s="216"/>
      <c r="N46" s="216"/>
      <c r="O46" s="216"/>
      <c r="P46" s="216"/>
    </row>
    <row r="47" spans="1:16" ht="12.75">
      <c r="A47" s="213"/>
      <c r="B47" s="214"/>
      <c r="C47" s="213"/>
      <c r="D47" s="215"/>
      <c r="E47" s="216"/>
      <c r="F47" s="216"/>
      <c r="G47" s="216"/>
      <c r="H47" s="187"/>
      <c r="I47" s="187"/>
      <c r="J47" s="216"/>
      <c r="K47" s="216"/>
      <c r="L47" s="216"/>
      <c r="M47" s="216"/>
      <c r="N47" s="216"/>
      <c r="O47" s="216"/>
      <c r="P47" s="216"/>
    </row>
    <row r="48" spans="1:16" ht="12.75">
      <c r="A48" s="213"/>
      <c r="B48" s="214"/>
      <c r="C48" s="213"/>
      <c r="D48" s="215"/>
      <c r="E48" s="216"/>
      <c r="F48" s="216"/>
      <c r="G48" s="216"/>
      <c r="H48" s="187"/>
      <c r="I48" s="187"/>
      <c r="J48" s="216"/>
      <c r="K48" s="216"/>
      <c r="L48" s="216"/>
      <c r="M48" s="216"/>
      <c r="N48" s="216"/>
      <c r="O48" s="216"/>
      <c r="P48" s="216"/>
    </row>
    <row r="49" spans="1:16" ht="12.75">
      <c r="A49" s="213"/>
      <c r="B49" s="214"/>
      <c r="C49" s="213"/>
      <c r="D49" s="215"/>
      <c r="E49" s="216"/>
      <c r="F49" s="216"/>
      <c r="G49" s="216"/>
      <c r="H49" s="187"/>
      <c r="I49" s="187"/>
      <c r="J49" s="216"/>
      <c r="K49" s="216"/>
      <c r="L49" s="216"/>
      <c r="M49" s="216"/>
      <c r="N49" s="216"/>
      <c r="O49" s="216"/>
      <c r="P49" s="216"/>
    </row>
    <row r="50" spans="1:16" ht="12.75">
      <c r="A50" s="213"/>
      <c r="B50" s="214"/>
      <c r="C50" s="213"/>
      <c r="D50" s="215"/>
      <c r="E50" s="216"/>
      <c r="F50" s="216"/>
      <c r="G50" s="216"/>
      <c r="H50" s="187"/>
      <c r="I50" s="187"/>
      <c r="J50" s="216"/>
      <c r="K50" s="216"/>
      <c r="L50" s="216"/>
      <c r="M50" s="216"/>
      <c r="N50" s="216"/>
      <c r="O50" s="216"/>
      <c r="P50" s="216"/>
    </row>
    <row r="51" spans="1:16" ht="12.75">
      <c r="A51" s="213"/>
      <c r="B51" s="214"/>
      <c r="C51" s="213"/>
      <c r="D51" s="215"/>
      <c r="E51" s="216"/>
      <c r="F51" s="216"/>
      <c r="G51" s="216"/>
      <c r="H51" s="187"/>
      <c r="I51" s="187"/>
      <c r="J51" s="216"/>
      <c r="K51" s="216"/>
      <c r="L51" s="216"/>
      <c r="M51" s="216"/>
      <c r="N51" s="216"/>
      <c r="O51" s="216"/>
      <c r="P51" s="216"/>
    </row>
    <row r="52" spans="1:16" ht="12.75">
      <c r="A52" s="213"/>
      <c r="B52" s="214"/>
      <c r="C52" s="213"/>
      <c r="D52" s="215"/>
      <c r="E52" s="216"/>
      <c r="F52" s="216"/>
      <c r="G52" s="216"/>
      <c r="H52" s="187"/>
      <c r="I52" s="187"/>
      <c r="J52" s="216"/>
      <c r="K52" s="216"/>
      <c r="L52" s="216"/>
      <c r="M52" s="216"/>
      <c r="N52" s="216"/>
      <c r="O52" s="216"/>
      <c r="P52" s="216"/>
    </row>
    <row r="53" spans="1:16" ht="12.75">
      <c r="A53" s="213"/>
      <c r="B53" s="214"/>
      <c r="C53" s="213"/>
      <c r="D53" s="215"/>
      <c r="E53" s="216"/>
      <c r="F53" s="216"/>
      <c r="G53" s="216"/>
      <c r="H53" s="187"/>
      <c r="I53" s="187"/>
      <c r="J53" s="216"/>
      <c r="K53" s="216"/>
      <c r="L53" s="216"/>
      <c r="M53" s="216"/>
      <c r="N53" s="216"/>
      <c r="O53" s="216"/>
      <c r="P53" s="216"/>
    </row>
    <row r="54" spans="1:16" ht="12.75">
      <c r="A54" s="213"/>
      <c r="B54" s="214"/>
      <c r="C54" s="213"/>
      <c r="D54" s="215"/>
      <c r="E54" s="216"/>
      <c r="F54" s="216"/>
      <c r="G54" s="216"/>
      <c r="H54" s="187"/>
      <c r="I54" s="187"/>
      <c r="J54" s="216"/>
      <c r="K54" s="216"/>
      <c r="L54" s="216"/>
      <c r="M54" s="216"/>
      <c r="N54" s="216"/>
      <c r="O54" s="216"/>
      <c r="P54" s="216"/>
    </row>
    <row r="55" spans="1:16" ht="12.75">
      <c r="A55" s="213"/>
      <c r="B55" s="214"/>
      <c r="C55" s="213"/>
      <c r="D55" s="215"/>
      <c r="E55" s="216"/>
      <c r="F55" s="216"/>
      <c r="G55" s="216"/>
      <c r="H55" s="187"/>
      <c r="I55" s="187"/>
      <c r="J55" s="216"/>
      <c r="K55" s="216"/>
      <c r="L55" s="216"/>
      <c r="M55" s="216"/>
      <c r="N55" s="216"/>
      <c r="O55" s="216"/>
      <c r="P55" s="216"/>
    </row>
    <row r="56" spans="1:16" ht="12.75">
      <c r="A56" s="213"/>
      <c r="B56" s="214"/>
      <c r="C56" s="213"/>
      <c r="D56" s="215"/>
      <c r="E56" s="216"/>
      <c r="F56" s="216"/>
      <c r="G56" s="216"/>
      <c r="H56" s="187"/>
      <c r="I56" s="187"/>
      <c r="J56" s="216"/>
      <c r="K56" s="216"/>
      <c r="L56" s="216"/>
      <c r="M56" s="216"/>
      <c r="N56" s="216"/>
      <c r="O56" s="216"/>
      <c r="P56" s="216"/>
    </row>
    <row r="57" spans="1:16" ht="12.75">
      <c r="A57" s="213"/>
      <c r="B57" s="214"/>
      <c r="C57" s="213"/>
      <c r="D57" s="215"/>
      <c r="E57" s="216"/>
      <c r="F57" s="216"/>
      <c r="G57" s="216"/>
      <c r="H57" s="187"/>
      <c r="I57" s="187"/>
      <c r="J57" s="216"/>
      <c r="K57" s="216"/>
      <c r="L57" s="216"/>
      <c r="M57" s="216"/>
      <c r="N57" s="216"/>
      <c r="O57" s="216"/>
      <c r="P57" s="216"/>
    </row>
    <row r="58" spans="1:16" ht="12.75">
      <c r="A58" s="213"/>
      <c r="B58" s="214"/>
      <c r="C58" s="213"/>
      <c r="D58" s="215"/>
      <c r="E58" s="216"/>
      <c r="F58" s="216"/>
      <c r="G58" s="216"/>
      <c r="H58" s="187"/>
      <c r="I58" s="187"/>
      <c r="J58" s="216"/>
      <c r="K58" s="216"/>
      <c r="L58" s="216"/>
      <c r="M58" s="216"/>
      <c r="N58" s="216"/>
      <c r="O58" s="216"/>
      <c r="P58" s="216"/>
    </row>
    <row r="59" spans="1:16" ht="12.75">
      <c r="A59" s="213"/>
      <c r="B59" s="214"/>
      <c r="C59" s="213"/>
      <c r="D59" s="215"/>
      <c r="E59" s="216"/>
      <c r="F59" s="216"/>
      <c r="G59" s="216"/>
      <c r="H59" s="187"/>
      <c r="I59" s="187"/>
      <c r="J59" s="216"/>
      <c r="K59" s="216"/>
      <c r="L59" s="216"/>
      <c r="M59" s="216"/>
      <c r="N59" s="216"/>
      <c r="O59" s="216"/>
      <c r="P59" s="216"/>
    </row>
    <row r="60" spans="1:16" ht="12.75">
      <c r="A60" s="213"/>
      <c r="B60" s="214"/>
      <c r="C60" s="213"/>
      <c r="D60" s="215"/>
      <c r="E60" s="216"/>
      <c r="F60" s="216"/>
      <c r="G60" s="216"/>
      <c r="H60" s="187"/>
      <c r="I60" s="187"/>
      <c r="J60" s="216"/>
      <c r="K60" s="216"/>
      <c r="L60" s="216"/>
      <c r="M60" s="216"/>
      <c r="N60" s="216"/>
      <c r="O60" s="216"/>
      <c r="P60" s="216"/>
    </row>
    <row r="61" spans="1:16" ht="12.75">
      <c r="A61" s="213"/>
      <c r="B61" s="214"/>
      <c r="C61" s="213"/>
      <c r="D61" s="215"/>
      <c r="E61" s="216"/>
      <c r="F61" s="216"/>
      <c r="G61" s="216"/>
      <c r="H61" s="187"/>
      <c r="I61" s="187"/>
      <c r="J61" s="216"/>
      <c r="K61" s="216"/>
      <c r="L61" s="216"/>
      <c r="M61" s="216"/>
      <c r="N61" s="216"/>
      <c r="O61" s="216"/>
      <c r="P61" s="216"/>
    </row>
    <row r="62" spans="1:16" ht="12.75">
      <c r="A62" s="213"/>
      <c r="B62" s="214"/>
      <c r="C62" s="213"/>
      <c r="D62" s="215"/>
      <c r="E62" s="216"/>
      <c r="F62" s="216"/>
      <c r="G62" s="216"/>
      <c r="H62" s="187"/>
      <c r="I62" s="187"/>
      <c r="J62" s="216"/>
      <c r="K62" s="216"/>
      <c r="L62" s="216"/>
      <c r="M62" s="216"/>
      <c r="N62" s="216"/>
      <c r="O62" s="216"/>
      <c r="P62" s="216"/>
    </row>
    <row r="63" spans="1:16" ht="12.75">
      <c r="A63" s="213"/>
      <c r="B63" s="214"/>
      <c r="C63" s="213"/>
      <c r="D63" s="215"/>
      <c r="E63" s="216"/>
      <c r="F63" s="216"/>
      <c r="G63" s="216"/>
      <c r="H63" s="187"/>
      <c r="I63" s="187"/>
      <c r="J63" s="216"/>
      <c r="K63" s="216"/>
      <c r="L63" s="216"/>
      <c r="M63" s="216"/>
      <c r="N63" s="216"/>
      <c r="O63" s="216"/>
      <c r="P63" s="216"/>
    </row>
    <row r="64" spans="1:16" ht="12.75">
      <c r="A64" s="213"/>
      <c r="B64" s="214"/>
      <c r="C64" s="213"/>
      <c r="D64" s="215"/>
      <c r="E64" s="216"/>
      <c r="F64" s="216"/>
      <c r="G64" s="216"/>
      <c r="H64" s="187"/>
      <c r="I64" s="187"/>
      <c r="J64" s="216"/>
      <c r="K64" s="216"/>
      <c r="L64" s="216"/>
      <c r="M64" s="216"/>
      <c r="N64" s="216"/>
      <c r="O64" s="216"/>
      <c r="P64" s="216"/>
    </row>
    <row r="65" spans="1:16" ht="12.75">
      <c r="A65" s="213"/>
      <c r="B65" s="214"/>
      <c r="C65" s="213"/>
      <c r="D65" s="215"/>
      <c r="E65" s="216"/>
      <c r="F65" s="216"/>
      <c r="G65" s="216"/>
      <c r="H65" s="187"/>
      <c r="I65" s="187"/>
      <c r="J65" s="216"/>
      <c r="K65" s="216"/>
      <c r="L65" s="216"/>
      <c r="M65" s="216"/>
      <c r="N65" s="216"/>
      <c r="O65" s="216"/>
      <c r="P65" s="216"/>
    </row>
    <row r="66" spans="1:16" ht="12.75">
      <c r="A66" s="213"/>
      <c r="B66" s="214"/>
      <c r="C66" s="213"/>
      <c r="D66" s="215"/>
      <c r="E66" s="216"/>
      <c r="F66" s="216"/>
      <c r="G66" s="216"/>
      <c r="H66" s="187"/>
      <c r="I66" s="187"/>
      <c r="J66" s="216"/>
      <c r="K66" s="216"/>
      <c r="L66" s="216"/>
      <c r="M66" s="216"/>
      <c r="N66" s="216"/>
      <c r="O66" s="216"/>
      <c r="P66" s="216"/>
    </row>
    <row r="67" spans="1:16" ht="12.75">
      <c r="A67" s="213"/>
      <c r="B67" s="214"/>
      <c r="C67" s="213"/>
      <c r="D67" s="215"/>
      <c r="E67" s="216"/>
      <c r="F67" s="216"/>
      <c r="G67" s="216"/>
      <c r="H67" s="187"/>
      <c r="I67" s="187"/>
      <c r="J67" s="216"/>
      <c r="K67" s="216"/>
      <c r="L67" s="216"/>
      <c r="M67" s="216"/>
      <c r="N67" s="216"/>
      <c r="O67" s="216"/>
      <c r="P67" s="216"/>
    </row>
    <row r="68" spans="1:16" ht="12.75">
      <c r="A68" s="213"/>
      <c r="B68" s="214"/>
      <c r="C68" s="213"/>
      <c r="D68" s="215"/>
      <c r="E68" s="216"/>
      <c r="F68" s="216"/>
      <c r="G68" s="216"/>
      <c r="H68" s="187"/>
      <c r="I68" s="187"/>
      <c r="J68" s="216"/>
      <c r="K68" s="216"/>
      <c r="L68" s="216"/>
      <c r="M68" s="216"/>
      <c r="N68" s="216"/>
      <c r="O68" s="216"/>
      <c r="P68" s="216"/>
    </row>
    <row r="69" spans="1:16" ht="12.75">
      <c r="A69" s="213"/>
      <c r="B69" s="214"/>
      <c r="C69" s="213"/>
      <c r="D69" s="215"/>
      <c r="E69" s="216"/>
      <c r="F69" s="216"/>
      <c r="G69" s="216"/>
      <c r="H69" s="187"/>
      <c r="I69" s="187"/>
      <c r="J69" s="216"/>
      <c r="K69" s="216"/>
      <c r="L69" s="216"/>
      <c r="M69" s="216"/>
      <c r="N69" s="216"/>
      <c r="O69" s="216"/>
      <c r="P69" s="216"/>
    </row>
    <row r="70" spans="1:16" ht="12.75">
      <c r="A70" s="213"/>
      <c r="B70" s="214"/>
      <c r="C70" s="213"/>
      <c r="D70" s="215"/>
      <c r="E70" s="216"/>
      <c r="F70" s="216"/>
      <c r="G70" s="216"/>
      <c r="H70" s="187"/>
      <c r="I70" s="187"/>
      <c r="J70" s="216"/>
      <c r="K70" s="216"/>
      <c r="L70" s="216"/>
      <c r="M70" s="216"/>
      <c r="N70" s="216"/>
      <c r="O70" s="216"/>
      <c r="P70" s="216"/>
    </row>
    <row r="71" spans="1:16" ht="12.75">
      <c r="A71" s="213"/>
      <c r="B71" s="214"/>
      <c r="C71" s="213"/>
      <c r="D71" s="215"/>
      <c r="E71" s="216"/>
      <c r="F71" s="216"/>
      <c r="G71" s="216"/>
      <c r="H71" s="187"/>
      <c r="I71" s="187"/>
      <c r="J71" s="216"/>
      <c r="K71" s="216"/>
      <c r="L71" s="216"/>
      <c r="M71" s="216"/>
      <c r="N71" s="216"/>
      <c r="O71" s="216"/>
      <c r="P71" s="216"/>
    </row>
    <row r="72" spans="1:16" ht="12.75">
      <c r="A72" s="213"/>
      <c r="B72" s="214"/>
      <c r="C72" s="213"/>
      <c r="D72" s="215"/>
      <c r="E72" s="216"/>
      <c r="F72" s="216"/>
      <c r="G72" s="216"/>
      <c r="H72" s="187"/>
      <c r="I72" s="187"/>
      <c r="J72" s="216"/>
      <c r="K72" s="216"/>
      <c r="L72" s="216"/>
      <c r="M72" s="216"/>
      <c r="N72" s="216"/>
      <c r="O72" s="216"/>
      <c r="P72" s="216"/>
    </row>
    <row r="73" spans="1:16" ht="12.75">
      <c r="A73" s="213"/>
      <c r="B73" s="214"/>
      <c r="C73" s="213"/>
      <c r="D73" s="215"/>
      <c r="E73" s="216"/>
      <c r="F73" s="216"/>
      <c r="G73" s="216"/>
      <c r="H73" s="187"/>
      <c r="I73" s="187"/>
      <c r="J73" s="216"/>
      <c r="K73" s="216"/>
      <c r="L73" s="216"/>
      <c r="M73" s="216"/>
      <c r="N73" s="216"/>
      <c r="O73" s="216"/>
      <c r="P73" s="216"/>
    </row>
    <row r="74" spans="1:16" ht="12.75">
      <c r="A74" s="213"/>
      <c r="B74" s="214"/>
      <c r="C74" s="213"/>
      <c r="D74" s="215"/>
      <c r="E74" s="216"/>
      <c r="F74" s="216"/>
      <c r="G74" s="216"/>
      <c r="H74" s="187"/>
      <c r="I74" s="187"/>
      <c r="J74" s="216"/>
      <c r="K74" s="216"/>
      <c r="L74" s="216"/>
      <c r="M74" s="216"/>
      <c r="N74" s="216"/>
      <c r="O74" s="216"/>
      <c r="P74" s="216"/>
    </row>
    <row r="75" spans="1:16" ht="12.75">
      <c r="A75" s="213"/>
      <c r="B75" s="214"/>
      <c r="C75" s="213"/>
      <c r="D75" s="215"/>
      <c r="E75" s="216"/>
      <c r="F75" s="216"/>
      <c r="G75" s="216"/>
      <c r="H75" s="187"/>
      <c r="I75" s="187"/>
      <c r="J75" s="216"/>
      <c r="K75" s="216"/>
      <c r="L75" s="216"/>
      <c r="M75" s="216"/>
      <c r="N75" s="216"/>
      <c r="O75" s="216"/>
      <c r="P75" s="216"/>
    </row>
    <row r="76" spans="1:16" ht="12.75">
      <c r="A76" s="213"/>
      <c r="B76" s="214"/>
      <c r="C76" s="213"/>
      <c r="D76" s="215"/>
      <c r="E76" s="216"/>
      <c r="F76" s="216"/>
      <c r="G76" s="216"/>
      <c r="H76" s="187"/>
      <c r="I76" s="187"/>
      <c r="J76" s="216"/>
      <c r="K76" s="216"/>
      <c r="L76" s="216"/>
      <c r="M76" s="216"/>
      <c r="N76" s="216"/>
      <c r="O76" s="216"/>
      <c r="P76" s="216"/>
    </row>
    <row r="77" spans="1:16" ht="12.75">
      <c r="A77" s="213"/>
      <c r="B77" s="214"/>
      <c r="C77" s="213"/>
      <c r="D77" s="215"/>
      <c r="E77" s="216"/>
      <c r="F77" s="216"/>
      <c r="G77" s="216"/>
      <c r="H77" s="187"/>
      <c r="I77" s="187"/>
      <c r="J77" s="216"/>
      <c r="K77" s="216"/>
      <c r="L77" s="216"/>
      <c r="M77" s="216"/>
      <c r="N77" s="216"/>
      <c r="O77" s="216"/>
      <c r="P77" s="216"/>
    </row>
    <row r="78" spans="1:16" ht="12.75">
      <c r="A78" s="213"/>
      <c r="B78" s="214"/>
      <c r="C78" s="213"/>
      <c r="D78" s="215"/>
      <c r="E78" s="216"/>
      <c r="F78" s="216"/>
      <c r="G78" s="216"/>
      <c r="H78" s="187"/>
      <c r="I78" s="187"/>
      <c r="J78" s="216"/>
      <c r="K78" s="216"/>
      <c r="L78" s="216"/>
      <c r="M78" s="216"/>
      <c r="N78" s="216"/>
      <c r="O78" s="216"/>
      <c r="P78" s="216"/>
    </row>
    <row r="79" spans="1:16" ht="12.75">
      <c r="A79" s="213"/>
      <c r="B79" s="214"/>
      <c r="C79" s="213"/>
      <c r="D79" s="215"/>
      <c r="E79" s="216"/>
      <c r="F79" s="216"/>
      <c r="G79" s="216"/>
      <c r="H79" s="187"/>
      <c r="I79" s="187"/>
      <c r="J79" s="216"/>
      <c r="K79" s="216"/>
      <c r="L79" s="216"/>
      <c r="M79" s="216"/>
      <c r="N79" s="216"/>
      <c r="O79" s="216"/>
      <c r="P79" s="216"/>
    </row>
    <row r="80" spans="1:16" ht="12.75">
      <c r="A80" s="213"/>
      <c r="B80" s="214"/>
      <c r="C80" s="213"/>
      <c r="D80" s="215"/>
      <c r="E80" s="216"/>
      <c r="F80" s="216"/>
      <c r="G80" s="216"/>
      <c r="H80" s="187"/>
      <c r="I80" s="187"/>
      <c r="J80" s="216"/>
      <c r="K80" s="216"/>
      <c r="L80" s="216"/>
      <c r="M80" s="216"/>
      <c r="N80" s="216"/>
      <c r="O80" s="216"/>
      <c r="P80" s="216"/>
    </row>
    <row r="81" spans="1:16" ht="12.75">
      <c r="A81" s="213"/>
      <c r="B81" s="214"/>
      <c r="C81" s="213"/>
      <c r="D81" s="215"/>
      <c r="E81" s="216"/>
      <c r="F81" s="216"/>
      <c r="G81" s="216"/>
      <c r="H81" s="187"/>
      <c r="I81" s="187"/>
      <c r="J81" s="216"/>
      <c r="K81" s="216"/>
      <c r="L81" s="216"/>
      <c r="M81" s="216"/>
      <c r="N81" s="216"/>
      <c r="O81" s="216"/>
      <c r="P81" s="216"/>
    </row>
    <row r="82" spans="1:16" ht="12.75">
      <c r="A82" s="213"/>
      <c r="B82" s="214"/>
      <c r="C82" s="213"/>
      <c r="D82" s="215"/>
      <c r="E82" s="216"/>
      <c r="F82" s="216"/>
      <c r="G82" s="216"/>
      <c r="H82" s="187"/>
      <c r="I82" s="187"/>
      <c r="J82" s="216"/>
      <c r="K82" s="216"/>
      <c r="L82" s="216"/>
      <c r="M82" s="216"/>
      <c r="N82" s="216"/>
      <c r="O82" s="216"/>
      <c r="P82" s="216"/>
    </row>
    <row r="83" spans="1:16" ht="12.75">
      <c r="A83" s="213"/>
      <c r="B83" s="214"/>
      <c r="C83" s="213"/>
      <c r="D83" s="215"/>
      <c r="E83" s="216"/>
      <c r="F83" s="216"/>
      <c r="G83" s="216"/>
      <c r="H83" s="187"/>
      <c r="I83" s="187"/>
      <c r="J83" s="216"/>
      <c r="K83" s="216"/>
      <c r="L83" s="216"/>
      <c r="M83" s="216"/>
      <c r="N83" s="216"/>
      <c r="O83" s="216"/>
      <c r="P83" s="216"/>
    </row>
    <row r="84" spans="1:16" ht="12.75">
      <c r="A84" s="213"/>
      <c r="B84" s="214"/>
      <c r="C84" s="213"/>
      <c r="D84" s="215"/>
      <c r="E84" s="216"/>
      <c r="F84" s="216"/>
      <c r="G84" s="216"/>
      <c r="H84" s="187"/>
      <c r="I84" s="187"/>
      <c r="J84" s="216"/>
      <c r="K84" s="216"/>
      <c r="L84" s="216"/>
      <c r="M84" s="216"/>
      <c r="N84" s="216"/>
      <c r="O84" s="216"/>
      <c r="P84" s="216"/>
    </row>
    <row r="85" spans="1:16" ht="12.75">
      <c r="A85" s="213"/>
      <c r="B85" s="214"/>
      <c r="C85" s="213"/>
      <c r="D85" s="215"/>
      <c r="E85" s="216"/>
      <c r="F85" s="216"/>
      <c r="G85" s="216"/>
      <c r="H85" s="187"/>
      <c r="I85" s="187"/>
      <c r="J85" s="216"/>
      <c r="K85" s="216"/>
      <c r="L85" s="216"/>
      <c r="M85" s="216"/>
      <c r="N85" s="216"/>
      <c r="O85" s="216"/>
      <c r="P85" s="216"/>
    </row>
    <row r="86" spans="1:16" ht="12.75">
      <c r="A86" s="213"/>
      <c r="B86" s="214"/>
      <c r="C86" s="213"/>
      <c r="D86" s="215"/>
      <c r="E86" s="216"/>
      <c r="F86" s="216"/>
      <c r="G86" s="216"/>
      <c r="H86" s="187"/>
      <c r="I86" s="187"/>
      <c r="J86" s="216"/>
      <c r="K86" s="216"/>
      <c r="L86" s="216"/>
      <c r="M86" s="216"/>
      <c r="N86" s="216"/>
      <c r="O86" s="216"/>
      <c r="P86" s="216"/>
    </row>
    <row r="87" spans="1:16" ht="12.75">
      <c r="A87" s="213"/>
      <c r="B87" s="214"/>
      <c r="C87" s="213"/>
      <c r="D87" s="215"/>
      <c r="E87" s="216"/>
      <c r="F87" s="216"/>
      <c r="G87" s="216"/>
      <c r="H87" s="187"/>
      <c r="I87" s="187"/>
      <c r="J87" s="216"/>
      <c r="K87" s="216"/>
      <c r="L87" s="216"/>
      <c r="M87" s="216"/>
      <c r="N87" s="216"/>
      <c r="O87" s="216"/>
      <c r="P87" s="216"/>
    </row>
    <row r="88" spans="1:16" ht="12.75">
      <c r="A88" s="213"/>
      <c r="B88" s="214"/>
      <c r="C88" s="213"/>
      <c r="D88" s="215"/>
      <c r="E88" s="216"/>
      <c r="F88" s="216"/>
      <c r="G88" s="216"/>
      <c r="H88" s="187"/>
      <c r="I88" s="187"/>
      <c r="J88" s="216"/>
      <c r="K88" s="216"/>
      <c r="L88" s="216"/>
      <c r="M88" s="216"/>
      <c r="N88" s="216"/>
      <c r="O88" s="216"/>
      <c r="P88" s="216"/>
    </row>
    <row r="89" spans="1:16" ht="12.75">
      <c r="A89" s="213"/>
      <c r="B89" s="214"/>
      <c r="C89" s="213"/>
      <c r="D89" s="215"/>
      <c r="E89" s="216"/>
      <c r="F89" s="216"/>
      <c r="G89" s="216"/>
      <c r="H89" s="187"/>
      <c r="I89" s="187"/>
      <c r="J89" s="216"/>
      <c r="K89" s="216"/>
      <c r="L89" s="216"/>
      <c r="M89" s="216"/>
      <c r="N89" s="216"/>
      <c r="O89" s="216"/>
      <c r="P89" s="216"/>
    </row>
    <row r="90" spans="1:16" ht="12.75">
      <c r="A90" s="213"/>
      <c r="B90" s="214"/>
      <c r="C90" s="213"/>
      <c r="D90" s="215"/>
      <c r="E90" s="216"/>
      <c r="F90" s="216"/>
      <c r="G90" s="216"/>
      <c r="H90" s="187"/>
      <c r="I90" s="187"/>
      <c r="J90" s="216"/>
      <c r="K90" s="216"/>
      <c r="L90" s="216"/>
      <c r="M90" s="216"/>
      <c r="N90" s="216"/>
      <c r="O90" s="216"/>
      <c r="P90" s="216"/>
    </row>
    <row r="91" spans="1:16" ht="12.75">
      <c r="A91" s="213"/>
      <c r="B91" s="214"/>
      <c r="C91" s="213"/>
      <c r="D91" s="215"/>
      <c r="E91" s="216"/>
      <c r="F91" s="216"/>
      <c r="G91" s="216"/>
      <c r="H91" s="187"/>
      <c r="I91" s="187"/>
      <c r="J91" s="216"/>
      <c r="K91" s="216"/>
      <c r="L91" s="216"/>
      <c r="M91" s="216"/>
      <c r="N91" s="216"/>
      <c r="O91" s="216"/>
      <c r="P91" s="216"/>
    </row>
    <row r="92" spans="1:16" ht="12.75">
      <c r="A92" s="213"/>
      <c r="B92" s="214"/>
      <c r="C92" s="213"/>
      <c r="D92" s="215"/>
      <c r="E92" s="216"/>
      <c r="F92" s="216"/>
      <c r="G92" s="216"/>
      <c r="H92" s="187"/>
      <c r="I92" s="187"/>
      <c r="J92" s="216"/>
      <c r="K92" s="216"/>
      <c r="L92" s="216"/>
      <c r="M92" s="216"/>
      <c r="N92" s="216"/>
      <c r="O92" s="216"/>
      <c r="P92" s="216"/>
    </row>
    <row r="93" spans="1:16" ht="12.75">
      <c r="A93" s="213"/>
      <c r="B93" s="214"/>
      <c r="C93" s="213"/>
      <c r="D93" s="215"/>
      <c r="E93" s="216"/>
      <c r="F93" s="216"/>
      <c r="G93" s="216"/>
      <c r="H93" s="187"/>
      <c r="I93" s="187"/>
      <c r="J93" s="216"/>
      <c r="K93" s="216"/>
      <c r="L93" s="216"/>
      <c r="M93" s="216"/>
      <c r="N93" s="216"/>
      <c r="O93" s="216"/>
      <c r="P93" s="216"/>
    </row>
    <row r="94" spans="1:16" ht="12.75">
      <c r="A94" s="213"/>
      <c r="B94" s="214"/>
      <c r="C94" s="213"/>
      <c r="D94" s="215"/>
      <c r="E94" s="216"/>
      <c r="F94" s="216"/>
      <c r="G94" s="216"/>
      <c r="H94" s="187"/>
      <c r="I94" s="187"/>
      <c r="J94" s="216"/>
      <c r="K94" s="216"/>
      <c r="L94" s="216"/>
      <c r="M94" s="216"/>
      <c r="N94" s="216"/>
      <c r="O94" s="216"/>
      <c r="P94" s="216"/>
    </row>
    <row r="95" spans="1:16" ht="12.75">
      <c r="A95" s="213"/>
      <c r="B95" s="214"/>
      <c r="C95" s="213"/>
      <c r="D95" s="215"/>
      <c r="E95" s="216"/>
      <c r="F95" s="216"/>
      <c r="G95" s="216"/>
      <c r="H95" s="187"/>
      <c r="I95" s="187"/>
      <c r="J95" s="216"/>
      <c r="K95" s="216"/>
      <c r="L95" s="216"/>
      <c r="M95" s="216"/>
      <c r="N95" s="216"/>
      <c r="O95" s="216"/>
      <c r="P95" s="216"/>
    </row>
    <row r="96" spans="1:16" ht="12.75">
      <c r="A96" s="213"/>
      <c r="B96" s="214"/>
      <c r="C96" s="213"/>
      <c r="D96" s="215"/>
      <c r="E96" s="216"/>
      <c r="F96" s="216"/>
      <c r="G96" s="216"/>
      <c r="H96" s="187"/>
      <c r="I96" s="187"/>
      <c r="J96" s="216"/>
      <c r="K96" s="216"/>
      <c r="L96" s="216"/>
      <c r="M96" s="216"/>
      <c r="N96" s="216"/>
      <c r="O96" s="216"/>
      <c r="P96" s="216"/>
    </row>
    <row r="97" spans="1:16" ht="12.75">
      <c r="A97" s="213"/>
      <c r="B97" s="214"/>
      <c r="C97" s="213"/>
      <c r="D97" s="215"/>
      <c r="E97" s="216"/>
      <c r="F97" s="216"/>
      <c r="G97" s="216"/>
      <c r="H97" s="187"/>
      <c r="I97" s="187"/>
      <c r="J97" s="216"/>
      <c r="K97" s="216"/>
      <c r="L97" s="216"/>
      <c r="M97" s="216"/>
      <c r="N97" s="216"/>
      <c r="O97" s="216"/>
      <c r="P97" s="216"/>
    </row>
    <row r="98" spans="1:16" ht="12.75">
      <c r="A98" s="213"/>
      <c r="B98" s="214"/>
      <c r="C98" s="213"/>
      <c r="D98" s="215"/>
      <c r="E98" s="216"/>
      <c r="F98" s="216"/>
      <c r="G98" s="216"/>
      <c r="H98" s="187"/>
      <c r="I98" s="187"/>
      <c r="J98" s="216"/>
      <c r="K98" s="216"/>
      <c r="L98" s="216"/>
      <c r="M98" s="216"/>
      <c r="N98" s="216"/>
      <c r="O98" s="216"/>
      <c r="P98" s="216"/>
    </row>
    <row r="99" spans="1:16" ht="12.75">
      <c r="A99" s="213"/>
      <c r="B99" s="214"/>
      <c r="C99" s="213"/>
      <c r="D99" s="215"/>
      <c r="E99" s="216"/>
      <c r="F99" s="216"/>
      <c r="G99" s="216"/>
      <c r="H99" s="187"/>
      <c r="I99" s="187"/>
      <c r="J99" s="216"/>
      <c r="K99" s="216"/>
      <c r="L99" s="216"/>
      <c r="M99" s="216"/>
      <c r="N99" s="216"/>
      <c r="O99" s="216"/>
      <c r="P99" s="216"/>
    </row>
    <row r="100" spans="1:16" ht="12.75">
      <c r="A100" s="213"/>
      <c r="B100" s="214"/>
      <c r="C100" s="213"/>
      <c r="D100" s="215"/>
      <c r="E100" s="216"/>
      <c r="F100" s="216"/>
      <c r="G100" s="216"/>
      <c r="H100" s="187"/>
      <c r="I100" s="187"/>
      <c r="J100" s="216"/>
      <c r="K100" s="216"/>
      <c r="L100" s="216"/>
      <c r="M100" s="216"/>
      <c r="N100" s="216"/>
      <c r="O100" s="216"/>
      <c r="P100" s="216"/>
    </row>
    <row r="101" spans="1:16" ht="12.75">
      <c r="A101" s="213"/>
      <c r="B101" s="214"/>
      <c r="C101" s="213"/>
      <c r="D101" s="215"/>
      <c r="E101" s="216"/>
      <c r="F101" s="216"/>
      <c r="G101" s="216"/>
      <c r="H101" s="187"/>
      <c r="I101" s="187"/>
      <c r="J101" s="216"/>
      <c r="K101" s="216"/>
      <c r="L101" s="216"/>
      <c r="M101" s="216"/>
      <c r="N101" s="216"/>
      <c r="O101" s="216"/>
      <c r="P101" s="216"/>
    </row>
    <row r="102" spans="1:16" ht="12.75">
      <c r="A102" s="213"/>
      <c r="B102" s="214"/>
      <c r="C102" s="213"/>
      <c r="D102" s="215"/>
      <c r="E102" s="216"/>
      <c r="F102" s="216"/>
      <c r="G102" s="216"/>
      <c r="H102" s="187"/>
      <c r="I102" s="187"/>
      <c r="J102" s="216"/>
      <c r="K102" s="216"/>
      <c r="L102" s="216"/>
      <c r="M102" s="216"/>
      <c r="N102" s="216"/>
      <c r="O102" s="216"/>
      <c r="P102" s="216"/>
    </row>
    <row r="103" spans="1:16" ht="12.75">
      <c r="A103" s="213"/>
      <c r="B103" s="214"/>
      <c r="C103" s="213"/>
      <c r="D103" s="215"/>
      <c r="E103" s="216"/>
      <c r="F103" s="216"/>
      <c r="G103" s="216"/>
      <c r="H103" s="187"/>
      <c r="I103" s="187"/>
      <c r="J103" s="216"/>
      <c r="K103" s="216"/>
      <c r="L103" s="216"/>
      <c r="M103" s="216"/>
      <c r="N103" s="216"/>
      <c r="O103" s="216"/>
      <c r="P103" s="216"/>
    </row>
    <row r="104" spans="1:16" ht="12.75">
      <c r="A104" s="213"/>
      <c r="B104" s="214"/>
      <c r="C104" s="213"/>
      <c r="D104" s="215"/>
      <c r="E104" s="216"/>
      <c r="F104" s="216"/>
      <c r="G104" s="216"/>
      <c r="H104" s="187"/>
      <c r="I104" s="187"/>
      <c r="J104" s="216"/>
      <c r="K104" s="216"/>
      <c r="L104" s="216"/>
      <c r="M104" s="216"/>
      <c r="N104" s="216"/>
      <c r="O104" s="216"/>
      <c r="P104" s="216"/>
    </row>
    <row r="105" spans="1:16" ht="12.75">
      <c r="A105" s="213"/>
      <c r="B105" s="214"/>
      <c r="C105" s="213"/>
      <c r="D105" s="215"/>
      <c r="E105" s="216"/>
      <c r="F105" s="216"/>
      <c r="G105" s="216"/>
      <c r="H105" s="187"/>
      <c r="I105" s="187"/>
      <c r="J105" s="216"/>
      <c r="K105" s="216"/>
      <c r="L105" s="216"/>
      <c r="M105" s="216"/>
      <c r="N105" s="216"/>
      <c r="O105" s="216"/>
      <c r="P105" s="216"/>
    </row>
    <row r="106" spans="1:16" ht="12.75">
      <c r="A106" s="213"/>
      <c r="B106" s="214"/>
      <c r="C106" s="213"/>
      <c r="D106" s="215"/>
      <c r="E106" s="216"/>
      <c r="F106" s="216"/>
      <c r="G106" s="216"/>
      <c r="H106" s="187"/>
      <c r="I106" s="187"/>
      <c r="J106" s="216"/>
      <c r="K106" s="216"/>
      <c r="L106" s="216"/>
      <c r="M106" s="216"/>
      <c r="N106" s="216"/>
      <c r="O106" s="216"/>
      <c r="P106" s="216"/>
    </row>
    <row r="107" spans="1:16" ht="12.75">
      <c r="A107" s="213"/>
      <c r="B107" s="214"/>
      <c r="C107" s="213"/>
      <c r="D107" s="215"/>
      <c r="E107" s="216"/>
      <c r="F107" s="216"/>
      <c r="G107" s="216"/>
      <c r="H107" s="187"/>
      <c r="I107" s="187"/>
      <c r="J107" s="216"/>
      <c r="K107" s="216"/>
      <c r="L107" s="216"/>
      <c r="M107" s="216"/>
      <c r="N107" s="216"/>
      <c r="O107" s="216"/>
      <c r="P107" s="216"/>
    </row>
    <row r="108" spans="1:16" ht="12.75">
      <c r="A108" s="213"/>
      <c r="B108" s="214"/>
      <c r="C108" s="213"/>
      <c r="D108" s="215"/>
      <c r="E108" s="216"/>
      <c r="F108" s="216"/>
      <c r="G108" s="216"/>
      <c r="H108" s="187"/>
      <c r="I108" s="187"/>
      <c r="J108" s="216"/>
      <c r="K108" s="216"/>
      <c r="L108" s="216"/>
      <c r="M108" s="216"/>
      <c r="N108" s="216"/>
      <c r="O108" s="216"/>
      <c r="P108" s="216"/>
    </row>
    <row r="109" spans="1:16" ht="12.75">
      <c r="A109" s="213"/>
      <c r="B109" s="214"/>
      <c r="C109" s="213"/>
      <c r="D109" s="215"/>
      <c r="E109" s="216"/>
      <c r="F109" s="216"/>
      <c r="G109" s="216"/>
      <c r="H109" s="187"/>
      <c r="I109" s="187"/>
      <c r="J109" s="216"/>
      <c r="K109" s="216"/>
      <c r="L109" s="216"/>
      <c r="M109" s="216"/>
      <c r="N109" s="216"/>
      <c r="O109" s="216"/>
      <c r="P109" s="216"/>
    </row>
    <row r="110" spans="1:16" ht="12.75">
      <c r="A110" s="213"/>
      <c r="B110" s="214"/>
      <c r="C110" s="213"/>
      <c r="D110" s="215"/>
      <c r="E110" s="216"/>
      <c r="F110" s="216"/>
      <c r="G110" s="216"/>
      <c r="H110" s="187"/>
      <c r="I110" s="187"/>
      <c r="J110" s="216"/>
      <c r="K110" s="216"/>
      <c r="L110" s="216"/>
      <c r="M110" s="216"/>
      <c r="N110" s="216"/>
      <c r="O110" s="216"/>
      <c r="P110" s="216"/>
    </row>
    <row r="111" spans="1:16" ht="12.75">
      <c r="A111" s="213"/>
      <c r="B111" s="214"/>
      <c r="C111" s="213"/>
      <c r="D111" s="215"/>
      <c r="E111" s="216"/>
      <c r="F111" s="216"/>
      <c r="G111" s="216"/>
      <c r="H111" s="187"/>
      <c r="I111" s="187"/>
      <c r="J111" s="216"/>
      <c r="K111" s="216"/>
      <c r="L111" s="216"/>
      <c r="M111" s="216"/>
      <c r="N111" s="216"/>
      <c r="O111" s="216"/>
      <c r="P111" s="216"/>
    </row>
    <row r="112" spans="1:16" ht="12.75">
      <c r="A112" s="213"/>
      <c r="B112" s="214"/>
      <c r="C112" s="213"/>
      <c r="D112" s="215"/>
      <c r="E112" s="216"/>
      <c r="F112" s="216"/>
      <c r="G112" s="216"/>
      <c r="H112" s="187"/>
      <c r="I112" s="187"/>
      <c r="J112" s="216"/>
      <c r="K112" s="216"/>
      <c r="L112" s="216"/>
      <c r="M112" s="216"/>
      <c r="N112" s="216"/>
      <c r="O112" s="216"/>
      <c r="P112" s="216"/>
    </row>
    <row r="113" spans="1:16" ht="12.75">
      <c r="A113" s="213"/>
      <c r="B113" s="214"/>
      <c r="C113" s="213"/>
      <c r="D113" s="215"/>
      <c r="E113" s="216"/>
      <c r="F113" s="216"/>
      <c r="G113" s="216"/>
      <c r="H113" s="187"/>
      <c r="I113" s="187"/>
      <c r="J113" s="216"/>
      <c r="K113" s="216"/>
      <c r="L113" s="216"/>
      <c r="M113" s="216"/>
      <c r="N113" s="216"/>
      <c r="O113" s="216"/>
      <c r="P113" s="216"/>
    </row>
    <row r="114" spans="1:16" ht="12.75">
      <c r="A114" s="213"/>
      <c r="B114" s="214"/>
      <c r="C114" s="213"/>
      <c r="D114" s="215"/>
      <c r="E114" s="216"/>
      <c r="F114" s="216"/>
      <c r="G114" s="216"/>
      <c r="H114" s="187"/>
      <c r="I114" s="187"/>
      <c r="J114" s="216"/>
      <c r="K114" s="216"/>
      <c r="L114" s="216"/>
      <c r="M114" s="216"/>
      <c r="N114" s="216"/>
      <c r="O114" s="216"/>
      <c r="P114" s="216"/>
    </row>
    <row r="115" spans="1:16" ht="12.75">
      <c r="A115" s="213"/>
      <c r="B115" s="214"/>
      <c r="C115" s="213"/>
      <c r="D115" s="215"/>
      <c r="E115" s="216"/>
      <c r="F115" s="216"/>
      <c r="G115" s="216"/>
      <c r="H115" s="187"/>
      <c r="I115" s="187"/>
      <c r="J115" s="216"/>
      <c r="K115" s="216"/>
      <c r="L115" s="216"/>
      <c r="M115" s="216"/>
      <c r="N115" s="216"/>
      <c r="O115" s="216"/>
      <c r="P115" s="216"/>
    </row>
    <row r="116" spans="1:16" ht="12.75">
      <c r="A116" s="213"/>
      <c r="B116" s="214"/>
      <c r="C116" s="213"/>
      <c r="D116" s="215"/>
      <c r="E116" s="216"/>
      <c r="F116" s="216"/>
      <c r="G116" s="216"/>
      <c r="H116" s="187"/>
      <c r="I116" s="187"/>
      <c r="J116" s="216"/>
      <c r="K116" s="216"/>
      <c r="L116" s="216"/>
      <c r="M116" s="216"/>
      <c r="N116" s="216"/>
      <c r="O116" s="216"/>
      <c r="P116" s="216"/>
    </row>
    <row r="117" spans="1:16" ht="12.75">
      <c r="A117" s="213"/>
      <c r="B117" s="214"/>
      <c r="C117" s="213"/>
      <c r="D117" s="215"/>
      <c r="E117" s="216"/>
      <c r="F117" s="216"/>
      <c r="G117" s="216"/>
      <c r="H117" s="187"/>
      <c r="I117" s="187"/>
      <c r="J117" s="216"/>
      <c r="K117" s="216"/>
      <c r="L117" s="216"/>
      <c r="M117" s="216"/>
      <c r="N117" s="216"/>
      <c r="O117" s="216"/>
      <c r="P117" s="216"/>
    </row>
    <row r="118" spans="1:16" ht="12.75">
      <c r="A118" s="213"/>
      <c r="B118" s="214"/>
      <c r="C118" s="213"/>
      <c r="D118" s="215"/>
      <c r="E118" s="216"/>
      <c r="F118" s="216"/>
      <c r="G118" s="216"/>
      <c r="H118" s="187"/>
      <c r="I118" s="187"/>
      <c r="J118" s="216"/>
      <c r="K118" s="216"/>
      <c r="L118" s="216"/>
      <c r="M118" s="216"/>
      <c r="N118" s="216"/>
      <c r="O118" s="216"/>
      <c r="P118" s="216"/>
    </row>
    <row r="119" spans="1:16" ht="12.75">
      <c r="A119" s="213"/>
      <c r="B119" s="214"/>
      <c r="C119" s="213"/>
      <c r="D119" s="215"/>
      <c r="E119" s="216"/>
      <c r="F119" s="216"/>
      <c r="G119" s="216"/>
      <c r="H119" s="187"/>
      <c r="I119" s="187"/>
      <c r="J119" s="216"/>
      <c r="K119" s="216"/>
      <c r="L119" s="216"/>
      <c r="M119" s="216"/>
      <c r="N119" s="216"/>
      <c r="O119" s="216"/>
      <c r="P119" s="216"/>
    </row>
    <row r="120" spans="1:16" ht="12.75">
      <c r="A120" s="213"/>
      <c r="B120" s="214"/>
      <c r="C120" s="213"/>
      <c r="D120" s="215"/>
      <c r="E120" s="216"/>
      <c r="F120" s="216"/>
      <c r="G120" s="216"/>
      <c r="H120" s="187"/>
      <c r="I120" s="187"/>
      <c r="J120" s="216"/>
      <c r="K120" s="216"/>
      <c r="L120" s="216"/>
      <c r="M120" s="216"/>
      <c r="N120" s="216"/>
      <c r="O120" s="216"/>
      <c r="P120" s="216"/>
    </row>
    <row r="121" spans="1:16" ht="12.75">
      <c r="A121" s="213"/>
      <c r="B121" s="214"/>
      <c r="C121" s="213"/>
      <c r="D121" s="215"/>
      <c r="E121" s="216"/>
      <c r="F121" s="216"/>
      <c r="G121" s="216"/>
      <c r="H121" s="187"/>
      <c r="I121" s="187"/>
      <c r="J121" s="216"/>
      <c r="K121" s="216"/>
      <c r="L121" s="216"/>
      <c r="M121" s="216"/>
      <c r="N121" s="216"/>
      <c r="O121" s="216"/>
      <c r="P121" s="216"/>
    </row>
    <row r="122" spans="1:16" ht="12.75">
      <c r="A122" s="213"/>
      <c r="B122" s="214"/>
      <c r="C122" s="213"/>
      <c r="D122" s="215"/>
      <c r="E122" s="216"/>
      <c r="F122" s="216"/>
      <c r="G122" s="216"/>
      <c r="H122" s="187"/>
      <c r="I122" s="187"/>
      <c r="J122" s="216"/>
      <c r="K122" s="216"/>
      <c r="L122" s="216"/>
      <c r="M122" s="216"/>
      <c r="N122" s="216"/>
      <c r="O122" s="216"/>
      <c r="P122" s="216"/>
    </row>
    <row r="123" spans="1:16" ht="12.75">
      <c r="A123" s="213"/>
      <c r="B123" s="214"/>
      <c r="C123" s="213"/>
      <c r="D123" s="215"/>
      <c r="E123" s="216"/>
      <c r="F123" s="216"/>
      <c r="G123" s="216"/>
      <c r="H123" s="187"/>
      <c r="I123" s="187"/>
      <c r="J123" s="216"/>
      <c r="K123" s="216"/>
      <c r="L123" s="216"/>
      <c r="M123" s="216"/>
      <c r="N123" s="216"/>
      <c r="O123" s="216"/>
      <c r="P123" s="216"/>
    </row>
    <row r="124" spans="1:16" ht="12.75">
      <c r="A124" s="213"/>
      <c r="B124" s="214"/>
      <c r="C124" s="213"/>
      <c r="D124" s="215"/>
      <c r="E124" s="216"/>
      <c r="F124" s="216"/>
      <c r="G124" s="216"/>
      <c r="H124" s="187"/>
      <c r="I124" s="187"/>
      <c r="J124" s="216"/>
      <c r="K124" s="216"/>
      <c r="L124" s="216"/>
      <c r="M124" s="216"/>
      <c r="N124" s="216"/>
      <c r="O124" s="216"/>
      <c r="P124" s="216"/>
    </row>
    <row r="125" spans="1:16" ht="12.75">
      <c r="A125" s="213"/>
      <c r="B125" s="214"/>
      <c r="C125" s="213"/>
      <c r="D125" s="215"/>
      <c r="E125" s="216"/>
      <c r="F125" s="216"/>
      <c r="G125" s="216"/>
      <c r="H125" s="187"/>
      <c r="I125" s="187"/>
      <c r="J125" s="216"/>
      <c r="K125" s="216"/>
      <c r="L125" s="216"/>
      <c r="M125" s="216"/>
      <c r="N125" s="216"/>
      <c r="O125" s="216"/>
      <c r="P125" s="216"/>
    </row>
    <row r="126" spans="1:16" ht="12.75">
      <c r="A126" s="213"/>
      <c r="B126" s="214"/>
      <c r="C126" s="213"/>
      <c r="D126" s="215"/>
      <c r="E126" s="216"/>
      <c r="F126" s="216"/>
      <c r="G126" s="216"/>
      <c r="H126" s="187"/>
      <c r="I126" s="187"/>
      <c r="J126" s="216"/>
      <c r="K126" s="216"/>
      <c r="L126" s="216"/>
      <c r="M126" s="216"/>
      <c r="N126" s="216"/>
      <c r="O126" s="216"/>
      <c r="P126" s="216"/>
    </row>
    <row r="127" spans="1:16" ht="12.75">
      <c r="A127" s="213"/>
      <c r="B127" s="214"/>
      <c r="C127" s="213"/>
      <c r="D127" s="215"/>
      <c r="E127" s="216"/>
      <c r="F127" s="216"/>
      <c r="G127" s="216"/>
      <c r="H127" s="187"/>
      <c r="I127" s="187"/>
      <c r="J127" s="216"/>
      <c r="K127" s="216"/>
      <c r="L127" s="216"/>
      <c r="M127" s="216"/>
      <c r="N127" s="216"/>
      <c r="O127" s="216"/>
      <c r="P127" s="216"/>
    </row>
    <row r="128" spans="1:16" ht="12.75">
      <c r="A128" s="213"/>
      <c r="B128" s="214"/>
      <c r="C128" s="213"/>
      <c r="D128" s="215"/>
      <c r="E128" s="216"/>
      <c r="F128" s="216"/>
      <c r="G128" s="216"/>
      <c r="H128" s="187"/>
      <c r="I128" s="187"/>
      <c r="J128" s="216"/>
      <c r="K128" s="216"/>
      <c r="L128" s="216"/>
      <c r="M128" s="216"/>
      <c r="N128" s="216"/>
      <c r="O128" s="216"/>
      <c r="P128" s="216"/>
    </row>
    <row r="129" spans="1:16" ht="12.75">
      <c r="A129" s="213"/>
      <c r="B129" s="214"/>
      <c r="C129" s="213"/>
      <c r="D129" s="215"/>
      <c r="E129" s="216"/>
      <c r="F129" s="216"/>
      <c r="G129" s="216"/>
      <c r="H129" s="187"/>
      <c r="I129" s="187"/>
      <c r="J129" s="216"/>
      <c r="K129" s="216"/>
      <c r="L129" s="216"/>
      <c r="M129" s="216"/>
      <c r="N129" s="216"/>
      <c r="O129" s="216"/>
      <c r="P129" s="216"/>
    </row>
    <row r="130" spans="1:16" ht="12.75">
      <c r="A130" s="213"/>
      <c r="B130" s="214"/>
      <c r="C130" s="213"/>
      <c r="D130" s="215"/>
      <c r="E130" s="216"/>
      <c r="F130" s="216"/>
      <c r="G130" s="216"/>
      <c r="H130" s="187"/>
      <c r="I130" s="187"/>
      <c r="J130" s="216"/>
      <c r="K130" s="216"/>
      <c r="L130" s="216"/>
      <c r="M130" s="216"/>
      <c r="N130" s="216"/>
      <c r="O130" s="216"/>
      <c r="P130" s="216"/>
    </row>
    <row r="131" spans="1:16" ht="12.75">
      <c r="A131" s="213"/>
      <c r="B131" s="214"/>
      <c r="C131" s="213"/>
      <c r="D131" s="215"/>
      <c r="E131" s="216"/>
      <c r="F131" s="216"/>
      <c r="G131" s="216"/>
      <c r="H131" s="187"/>
      <c r="I131" s="187"/>
      <c r="J131" s="216"/>
      <c r="K131" s="216"/>
      <c r="L131" s="216"/>
      <c r="M131" s="216"/>
      <c r="N131" s="216"/>
      <c r="O131" s="216"/>
      <c r="P131" s="216"/>
    </row>
    <row r="132" spans="1:16" ht="12.75">
      <c r="A132" s="213"/>
      <c r="B132" s="214"/>
      <c r="C132" s="213"/>
      <c r="D132" s="215"/>
      <c r="E132" s="216"/>
      <c r="F132" s="216"/>
      <c r="G132" s="216"/>
      <c r="H132" s="187"/>
      <c r="I132" s="187"/>
      <c r="J132" s="216"/>
      <c r="K132" s="216"/>
      <c r="L132" s="216"/>
      <c r="M132" s="216"/>
      <c r="N132" s="216"/>
      <c r="O132" s="216"/>
      <c r="P132" s="216"/>
    </row>
    <row r="133" spans="1:16" ht="12.75">
      <c r="A133" s="213"/>
      <c r="B133" s="214"/>
      <c r="C133" s="213"/>
      <c r="D133" s="215"/>
      <c r="E133" s="216"/>
      <c r="F133" s="216"/>
      <c r="G133" s="216"/>
      <c r="H133" s="187"/>
      <c r="I133" s="187"/>
      <c r="J133" s="216"/>
      <c r="K133" s="216"/>
      <c r="L133" s="216"/>
      <c r="M133" s="216"/>
      <c r="N133" s="216"/>
      <c r="O133" s="216"/>
      <c r="P133" s="216"/>
    </row>
    <row r="134" spans="1:16" ht="12.75">
      <c r="A134" s="213"/>
      <c r="B134" s="214"/>
      <c r="C134" s="213"/>
      <c r="D134" s="215"/>
      <c r="E134" s="216"/>
      <c r="F134" s="216"/>
      <c r="G134" s="216"/>
      <c r="H134" s="187"/>
      <c r="I134" s="187"/>
      <c r="J134" s="216"/>
      <c r="K134" s="216"/>
      <c r="L134" s="216"/>
      <c r="M134" s="216"/>
      <c r="N134" s="216"/>
      <c r="O134" s="216"/>
      <c r="P134" s="216"/>
    </row>
    <row r="135" spans="1:16" ht="12.75">
      <c r="A135" s="213"/>
      <c r="B135" s="214"/>
      <c r="C135" s="213"/>
      <c r="D135" s="215"/>
      <c r="E135" s="216"/>
      <c r="F135" s="216"/>
      <c r="G135" s="216"/>
      <c r="H135" s="187"/>
      <c r="I135" s="187"/>
      <c r="J135" s="216"/>
      <c r="K135" s="216"/>
      <c r="L135" s="216"/>
      <c r="M135" s="216"/>
      <c r="N135" s="216"/>
      <c r="O135" s="216"/>
      <c r="P135" s="216"/>
    </row>
    <row r="136" spans="1:16" ht="12.75">
      <c r="A136" s="213"/>
      <c r="B136" s="214"/>
      <c r="C136" s="213"/>
      <c r="D136" s="215"/>
      <c r="E136" s="216"/>
      <c r="F136" s="216"/>
      <c r="G136" s="216"/>
      <c r="H136" s="187"/>
      <c r="I136" s="187"/>
      <c r="J136" s="216"/>
      <c r="K136" s="216"/>
      <c r="L136" s="216"/>
      <c r="M136" s="216"/>
      <c r="N136" s="216"/>
      <c r="O136" s="216"/>
      <c r="P136" s="216"/>
    </row>
    <row r="137" spans="1:16" ht="12.75">
      <c r="A137" s="213"/>
      <c r="B137" s="214"/>
      <c r="C137" s="213"/>
      <c r="D137" s="215"/>
      <c r="E137" s="216"/>
      <c r="F137" s="216"/>
      <c r="G137" s="216"/>
      <c r="H137" s="187"/>
      <c r="I137" s="187"/>
      <c r="J137" s="216"/>
      <c r="K137" s="216"/>
      <c r="L137" s="216"/>
      <c r="M137" s="216"/>
      <c r="N137" s="216"/>
      <c r="O137" s="216"/>
      <c r="P137" s="216"/>
    </row>
    <row r="138" spans="1:16" ht="12.75">
      <c r="A138" s="213"/>
      <c r="B138" s="214"/>
      <c r="C138" s="213"/>
      <c r="D138" s="215"/>
      <c r="E138" s="216"/>
      <c r="F138" s="216"/>
      <c r="G138" s="216"/>
      <c r="H138" s="187"/>
      <c r="I138" s="187"/>
      <c r="J138" s="216"/>
      <c r="K138" s="216"/>
      <c r="L138" s="216"/>
      <c r="M138" s="216"/>
      <c r="N138" s="216"/>
      <c r="O138" s="216"/>
      <c r="P138" s="216"/>
    </row>
    <row r="139" spans="1:16" ht="12.75">
      <c r="A139" s="213"/>
      <c r="B139" s="214"/>
      <c r="C139" s="213"/>
      <c r="D139" s="215"/>
      <c r="E139" s="216"/>
      <c r="F139" s="216"/>
      <c r="G139" s="216"/>
      <c r="H139" s="187"/>
      <c r="I139" s="187"/>
      <c r="J139" s="216"/>
      <c r="K139" s="216"/>
      <c r="L139" s="216"/>
      <c r="M139" s="216"/>
      <c r="N139" s="216"/>
      <c r="O139" s="216"/>
      <c r="P139" s="216"/>
    </row>
    <row r="140" spans="1:16" ht="12.75">
      <c r="A140" s="213"/>
      <c r="B140" s="214"/>
      <c r="C140" s="213"/>
      <c r="D140" s="215"/>
      <c r="E140" s="216"/>
      <c r="F140" s="216"/>
      <c r="G140" s="216"/>
      <c r="H140" s="187"/>
      <c r="I140" s="187"/>
      <c r="J140" s="216"/>
      <c r="K140" s="216"/>
      <c r="L140" s="216"/>
      <c r="M140" s="216"/>
      <c r="N140" s="216"/>
      <c r="O140" s="216"/>
      <c r="P140" s="216"/>
    </row>
    <row r="141" spans="1:16" ht="12.75">
      <c r="A141" s="213"/>
      <c r="B141" s="214"/>
      <c r="C141" s="213"/>
      <c r="D141" s="215"/>
      <c r="E141" s="216"/>
      <c r="F141" s="216"/>
      <c r="G141" s="216"/>
      <c r="H141" s="187"/>
      <c r="I141" s="187"/>
      <c r="J141" s="216"/>
      <c r="K141" s="216"/>
      <c r="L141" s="216"/>
      <c r="M141" s="216"/>
      <c r="N141" s="216"/>
      <c r="O141" s="216"/>
      <c r="P141" s="216"/>
    </row>
    <row r="142" spans="1:16" ht="12.75">
      <c r="A142" s="213"/>
      <c r="B142" s="214"/>
      <c r="C142" s="213"/>
      <c r="D142" s="215"/>
      <c r="E142" s="216"/>
      <c r="F142" s="216"/>
      <c r="G142" s="216"/>
      <c r="H142" s="187"/>
      <c r="I142" s="187"/>
      <c r="J142" s="216"/>
      <c r="K142" s="216"/>
      <c r="L142" s="216"/>
      <c r="M142" s="216"/>
      <c r="N142" s="216"/>
      <c r="O142" s="216"/>
      <c r="P142" s="216"/>
    </row>
    <row r="143" spans="1:16" ht="12.75">
      <c r="A143" s="213"/>
      <c r="B143" s="214"/>
      <c r="C143" s="213"/>
      <c r="D143" s="215"/>
      <c r="E143" s="216"/>
      <c r="F143" s="216"/>
      <c r="G143" s="216"/>
      <c r="H143" s="187"/>
      <c r="I143" s="187"/>
      <c r="J143" s="216"/>
      <c r="K143" s="216"/>
      <c r="L143" s="216"/>
      <c r="M143" s="216"/>
      <c r="N143" s="216"/>
      <c r="O143" s="216"/>
      <c r="P143" s="216"/>
    </row>
    <row r="144" spans="1:16" ht="12.75">
      <c r="A144" s="213"/>
      <c r="B144" s="214"/>
      <c r="C144" s="213"/>
      <c r="D144" s="215"/>
      <c r="E144" s="216"/>
      <c r="F144" s="216"/>
      <c r="G144" s="216"/>
      <c r="H144" s="187"/>
      <c r="I144" s="187"/>
      <c r="J144" s="216"/>
      <c r="K144" s="216"/>
      <c r="L144" s="216"/>
      <c r="M144" s="216"/>
      <c r="N144" s="216"/>
      <c r="O144" s="216"/>
      <c r="P144" s="216"/>
    </row>
    <row r="145" spans="1:16" ht="12.75">
      <c r="A145" s="213"/>
      <c r="B145" s="214"/>
      <c r="C145" s="213"/>
      <c r="D145" s="215"/>
      <c r="E145" s="216"/>
      <c r="F145" s="216"/>
      <c r="G145" s="216"/>
      <c r="H145" s="187"/>
      <c r="I145" s="187"/>
      <c r="J145" s="216"/>
      <c r="K145" s="216"/>
      <c r="L145" s="216"/>
      <c r="M145" s="216"/>
      <c r="N145" s="216"/>
      <c r="O145" s="216"/>
      <c r="P145" s="216"/>
    </row>
    <row r="146" spans="1:16" ht="12.75">
      <c r="A146" s="213"/>
      <c r="B146" s="214"/>
      <c r="C146" s="213"/>
      <c r="D146" s="215"/>
      <c r="E146" s="216"/>
      <c r="F146" s="216"/>
      <c r="G146" s="216"/>
      <c r="H146" s="187"/>
      <c r="I146" s="187"/>
      <c r="J146" s="216"/>
      <c r="K146" s="216"/>
      <c r="L146" s="216"/>
      <c r="M146" s="216"/>
      <c r="N146" s="216"/>
      <c r="O146" s="216"/>
      <c r="P146" s="216"/>
    </row>
    <row r="147" spans="1:16" ht="12.75">
      <c r="A147" s="213"/>
      <c r="B147" s="214"/>
      <c r="C147" s="213"/>
      <c r="D147" s="215"/>
      <c r="E147" s="216"/>
      <c r="F147" s="216"/>
      <c r="G147" s="216"/>
      <c r="H147" s="187"/>
      <c r="I147" s="187"/>
      <c r="J147" s="216"/>
      <c r="K147" s="216"/>
      <c r="L147" s="216"/>
      <c r="M147" s="216"/>
      <c r="N147" s="216"/>
      <c r="O147" s="216"/>
      <c r="P147" s="216"/>
    </row>
    <row r="148" spans="1:16" ht="12.75">
      <c r="A148" s="213"/>
      <c r="B148" s="214"/>
      <c r="C148" s="213"/>
      <c r="D148" s="215"/>
      <c r="E148" s="216"/>
      <c r="F148" s="216"/>
      <c r="G148" s="216"/>
      <c r="H148" s="187"/>
      <c r="I148" s="187"/>
      <c r="J148" s="216"/>
      <c r="K148" s="216"/>
      <c r="L148" s="216"/>
      <c r="M148" s="216"/>
      <c r="N148" s="216"/>
      <c r="O148" s="216"/>
      <c r="P148" s="216"/>
    </row>
    <row r="149" spans="1:16" ht="12.75">
      <c r="A149" s="213"/>
      <c r="B149" s="214"/>
      <c r="C149" s="213"/>
      <c r="D149" s="215"/>
      <c r="E149" s="216"/>
      <c r="F149" s="216"/>
      <c r="G149" s="216"/>
      <c r="H149" s="187"/>
      <c r="I149" s="187"/>
      <c r="J149" s="216"/>
      <c r="K149" s="216"/>
      <c r="L149" s="216"/>
      <c r="M149" s="216"/>
      <c r="N149" s="216"/>
      <c r="O149" s="216"/>
      <c r="P149" s="216"/>
    </row>
    <row r="150" spans="1:16" ht="12.75">
      <c r="A150" s="213"/>
      <c r="B150" s="214"/>
      <c r="C150" s="213"/>
      <c r="D150" s="215"/>
      <c r="E150" s="216"/>
      <c r="F150" s="216"/>
      <c r="G150" s="216"/>
      <c r="H150" s="187"/>
      <c r="I150" s="187"/>
      <c r="J150" s="216"/>
      <c r="K150" s="216"/>
      <c r="L150" s="216"/>
      <c r="M150" s="216"/>
      <c r="N150" s="216"/>
      <c r="O150" s="216"/>
      <c r="P150" s="216"/>
    </row>
    <row r="151" spans="1:16" ht="12.75">
      <c r="A151" s="213"/>
      <c r="B151" s="214"/>
      <c r="C151" s="213"/>
      <c r="D151" s="215"/>
      <c r="E151" s="216"/>
      <c r="F151" s="216"/>
      <c r="G151" s="216"/>
      <c r="H151" s="187"/>
      <c r="I151" s="187"/>
      <c r="J151" s="216"/>
      <c r="K151" s="216"/>
      <c r="L151" s="216"/>
      <c r="M151" s="216"/>
      <c r="N151" s="216"/>
      <c r="O151" s="216"/>
      <c r="P151" s="216"/>
    </row>
    <row r="152" spans="1:16" ht="12.75">
      <c r="A152" s="213"/>
      <c r="B152" s="214"/>
      <c r="C152" s="213"/>
      <c r="D152" s="215"/>
      <c r="E152" s="216"/>
      <c r="F152" s="216"/>
      <c r="G152" s="216"/>
      <c r="H152" s="187"/>
      <c r="I152" s="187"/>
      <c r="J152" s="216"/>
      <c r="K152" s="216"/>
      <c r="L152" s="216"/>
      <c r="M152" s="216"/>
      <c r="N152" s="216"/>
      <c r="O152" s="216"/>
      <c r="P152" s="216"/>
    </row>
    <row r="153" spans="1:16" ht="12.75">
      <c r="A153" s="213"/>
      <c r="B153" s="214"/>
      <c r="C153" s="213"/>
      <c r="D153" s="215"/>
      <c r="E153" s="216"/>
      <c r="F153" s="216"/>
      <c r="G153" s="216"/>
      <c r="H153" s="187"/>
      <c r="I153" s="187"/>
      <c r="J153" s="216"/>
      <c r="K153" s="216"/>
      <c r="L153" s="216"/>
      <c r="M153" s="216"/>
      <c r="N153" s="216"/>
      <c r="O153" s="216"/>
      <c r="P153" s="216"/>
    </row>
  </sheetData>
  <sheetProtection selectLockedCells="1" selectUnlockedCells="1"/>
  <mergeCells count="20">
    <mergeCell ref="A7:B7"/>
    <mergeCell ref="C23:G23"/>
    <mergeCell ref="K23:P23"/>
    <mergeCell ref="I25:J25"/>
    <mergeCell ref="F10:K10"/>
    <mergeCell ref="L10:P10"/>
    <mergeCell ref="C17:K17"/>
    <mergeCell ref="C18:K18"/>
    <mergeCell ref="D10:D11"/>
    <mergeCell ref="E10:E11"/>
    <mergeCell ref="A22:B22"/>
    <mergeCell ref="I22:J22"/>
    <mergeCell ref="A1:P1"/>
    <mergeCell ref="A2:P2"/>
    <mergeCell ref="M8:N8"/>
    <mergeCell ref="O8:P8"/>
    <mergeCell ref="G9:H9"/>
    <mergeCell ref="A10:A11"/>
    <mergeCell ref="B10:B11"/>
    <mergeCell ref="C10:C11"/>
  </mergeCells>
  <printOptions horizontalCentered="1"/>
  <pageMargins left="0" right="0" top="0.7875" bottom="0.7694444444444444" header="0.5118055555555555" footer="0.19652777777777777"/>
  <pageSetup firstPageNumber="1" useFirstPageNumber="1" horizontalDpi="300" verticalDpi="300" orientation="landscape" paperSize="9" scale="6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Signe</cp:lastModifiedBy>
  <cp:lastPrinted>2013-03-11T06:18:37Z</cp:lastPrinted>
  <dcterms:created xsi:type="dcterms:W3CDTF">2013-02-22T09:55:50Z</dcterms:created>
  <dcterms:modified xsi:type="dcterms:W3CDTF">2013-03-11T07:07:47Z</dcterms:modified>
  <cp:category/>
  <cp:version/>
  <cp:contentType/>
  <cp:contentStatus/>
</cp:coreProperties>
</file>