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4" activeTab="1"/>
  </bookViews>
  <sheets>
    <sheet name="Koptāme" sheetId="1" r:id="rId1"/>
    <sheet name="kopsavilkums_ I kārta_ 1.fin." sheetId="2" r:id="rId2"/>
    <sheet name="kopsavilkums_ I kārta_ 2fin." sheetId="3" r:id="rId3"/>
    <sheet name="1_Demontāžas darbi" sheetId="4" r:id="rId4"/>
    <sheet name="2_ Zemes darbi" sheetId="5" r:id="rId5"/>
    <sheet name="3_Betona, dz.betona, tērauda k." sheetId="6" r:id="rId6"/>
    <sheet name="4_Mūrnieku darbi" sheetId="7" r:id="rId7"/>
    <sheet name="5_Namdaru darbi" sheetId="8" r:id="rId8"/>
    <sheet name="6_Logi, durvis" sheetId="9" r:id="rId9"/>
    <sheet name="7_Iekšējie apdares darbi" sheetId="10" r:id="rId10"/>
    <sheet name="8_EL" sheetId="11" r:id="rId11"/>
    <sheet name="9_Iekšējais ūdensvads" sheetId="12" r:id="rId12"/>
    <sheet name="10_Iekšējā kanalizācija" sheetId="13" r:id="rId13"/>
    <sheet name="11_UAS" sheetId="14" r:id="rId14"/>
    <sheet name="12_Vēdināšana II stāvs" sheetId="15" r:id="rId15"/>
    <sheet name="13_Apkure II st." sheetId="16" r:id="rId16"/>
    <sheet name="14_Siltummezgls I kārta" sheetId="17" r:id="rId17"/>
    <sheet name="15_Iekārtas" sheetId="18" r:id="rId18"/>
    <sheet name="16_TS" sheetId="19" r:id="rId19"/>
    <sheet name="17_Pagrabs" sheetId="20" r:id="rId20"/>
    <sheet name="18_Apkure I st." sheetId="21" r:id="rId21"/>
    <sheet name="19_Iekšējie apdares. darbi 1st." sheetId="22" r:id="rId22"/>
  </sheets>
  <definedNames>
    <definedName name="_xlnm.Print_Titles" localSheetId="3">'1_Demontāžas darbi'!$11:$13</definedName>
    <definedName name="_xlnm.Print_Area" localSheetId="12">'10_Iekšējā kanalizācija'!$A$1:$P$37</definedName>
    <definedName name="_xlnm.Print_Titles" localSheetId="12">'10_Iekšējā kanalizācija'!$11:$13</definedName>
    <definedName name="_xlnm.Print_Area" localSheetId="13">'11_UAS'!$A$1:$P$32</definedName>
    <definedName name="_xlnm.Print_Titles" localSheetId="13">'11_UAS'!$11:$13</definedName>
    <definedName name="_xlnm.Print_Area" localSheetId="14">'12_Vēdināšana II stāvs'!$A$1:$P$134</definedName>
    <definedName name="_xlnm.Print_Titles" localSheetId="14">'12_Vēdināšana II stāvs'!$11:$13</definedName>
    <definedName name="_xlnm.Print_Area" localSheetId="15">'13_Apkure II st.'!$A$1:$P$40</definedName>
    <definedName name="_xlnm.Print_Titles" localSheetId="15">'13_Apkure II st.'!$11:$13</definedName>
    <definedName name="_xlnm.Print_Area" localSheetId="16">'14_Siltummezgls I kārta'!$A$1:$P$41</definedName>
    <definedName name="_xlnm.Print_Titles" localSheetId="16">'14_Siltummezgls I kārta'!$10:$12</definedName>
    <definedName name="_xlnm.Print_Titles" localSheetId="17">'15_Iekārtas'!$11:$13</definedName>
    <definedName name="_xlnm.Print_Titles" localSheetId="18">'16_TS'!$11:$13</definedName>
    <definedName name="_xlnm.Print_Titles" localSheetId="19">'17_Pagrabs'!$11:$13</definedName>
    <definedName name="_xlnm.Print_Area" localSheetId="20">'18_Apkure I st.'!$A$1:$P$26</definedName>
    <definedName name="_xlnm.Print_Titles" localSheetId="20">'18_Apkure I st.'!$11:$13</definedName>
    <definedName name="_xlnm.Print_Titles" localSheetId="21">'19_Iekšējie apdares. darbi 1st.'!$11:$13</definedName>
    <definedName name="_xlnm.Print_Titles" localSheetId="4">'2_ Zemes darbi'!$11:$13</definedName>
    <definedName name="_xlnm.Print_Area" localSheetId="5">'3_Betona, dz.betona, tērauda k.'!$A$1:$P$92</definedName>
    <definedName name="_xlnm.Print_Titles" localSheetId="5">'3_Betona, dz.betona, tērauda k.'!$11:$13</definedName>
    <definedName name="_xlnm.Print_Area" localSheetId="6">'4_Mūrnieku darbi'!$A$1:$P$37</definedName>
    <definedName name="_xlnm.Print_Titles" localSheetId="6">'4_Mūrnieku darbi'!$11:$13</definedName>
    <definedName name="_xlnm.Print_Area" localSheetId="7">'5_Namdaru darbi'!$A$1:$P$137</definedName>
    <definedName name="_xlnm.Print_Titles" localSheetId="7">'5_Namdaru darbi'!$11:$13</definedName>
    <definedName name="_xlnm.Print_Area" localSheetId="8">'6_Logi, durvis'!$A$1:$P$42</definedName>
    <definedName name="_xlnm.Print_Titles" localSheetId="8">'6_Logi, durvis'!$1:$13</definedName>
    <definedName name="_xlnm.Print_Area" localSheetId="9">'7_Iekšējie apdares darbi'!$A$1:$P$74</definedName>
    <definedName name="_xlnm.Print_Titles" localSheetId="9">'7_Iekšējie apdares darbi'!$11:$13</definedName>
    <definedName name="_xlnm.Print_Titles" localSheetId="10">'8_EL'!$11:$13</definedName>
    <definedName name="_xlnm.Print_Area" localSheetId="11">'9_Iekšējais ūdensvads'!$A$1:$P$37</definedName>
    <definedName name="_xlnm.Print_Titles" localSheetId="11">'9_Iekšējais ūdensvads'!$11:$13</definedName>
    <definedName name="_xlnm.Print_Area" localSheetId="1">'kopsavilkums_ I kārta_ 1.fin.'!$A$1:$H$32</definedName>
    <definedName name="_xlnm.Print_Area" localSheetId="2">'kopsavilkums_ I kārta_ 2fin.'!$A$1:$H$23</definedName>
  </definedNames>
  <calcPr fullCalcOnLoad="1"/>
</workbook>
</file>

<file path=xl/comments10.xml><?xml version="1.0" encoding="utf-8"?>
<comments xmlns="http://schemas.openxmlformats.org/spreadsheetml/2006/main">
  <authors>
    <author/>
  </authors>
  <commentList>
    <comment ref="E15" authorId="0">
      <text>
        <r>
          <rPr>
            <b/>
            <sz val="8"/>
            <color indexed="8"/>
            <rFont val="Tahoma"/>
            <family val="2"/>
          </rPr>
          <t xml:space="preserve">andris1979:
</t>
        </r>
        <r>
          <rPr>
            <sz val="8"/>
            <color indexed="8"/>
            <rFont val="Tahoma"/>
            <family val="2"/>
          </rPr>
          <t>pārmērīt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G2" authorId="0">
      <text>
        <r>
          <rPr>
            <b/>
            <sz val="8"/>
            <color indexed="8"/>
            <rFont val="Tahoma"/>
            <family val="2"/>
          </rPr>
          <t xml:space="preserve">andris1979:
</t>
        </r>
        <r>
          <rPr>
            <sz val="8"/>
            <color indexed="8"/>
            <rFont val="Tahoma"/>
            <family val="2"/>
          </rPr>
          <t>2 stāvs un piebūve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C58" authorId="0">
      <text>
        <r>
          <rPr>
            <b/>
            <sz val="8"/>
            <color indexed="8"/>
            <rFont val="Tahoma"/>
            <family val="2"/>
          </rPr>
          <t xml:space="preserve">andris1979:
</t>
        </r>
        <r>
          <rPr>
            <sz val="8"/>
            <color indexed="8"/>
            <rFont val="Tahoma"/>
            <family val="2"/>
          </rPr>
          <t>Peikko latvija</t>
        </r>
      </text>
    </comment>
    <comment ref="I78" authorId="0">
      <text>
        <r>
          <rPr>
            <b/>
            <sz val="8"/>
            <color indexed="8"/>
            <rFont val="Tahoma"/>
            <family val="2"/>
          </rPr>
          <t xml:space="preserve">andris1979:
</t>
        </r>
        <r>
          <rPr>
            <sz val="8"/>
            <color indexed="8"/>
            <rFont val="Tahoma"/>
            <family val="2"/>
          </rPr>
          <t>Marmors</t>
        </r>
      </text>
    </comment>
    <comment ref="I79" authorId="0">
      <text>
        <r>
          <rPr>
            <b/>
            <sz val="8"/>
            <color indexed="8"/>
            <rFont val="Tahoma"/>
            <family val="2"/>
          </rPr>
          <t xml:space="preserve">andris1979:
</t>
        </r>
        <r>
          <rPr>
            <sz val="8"/>
            <color indexed="8"/>
            <rFont val="Tahoma"/>
            <family val="2"/>
          </rPr>
          <t>Marmors</t>
        </r>
      </text>
    </comment>
  </commentList>
</comments>
</file>

<file path=xl/sharedStrings.xml><?xml version="1.0" encoding="utf-8"?>
<sst xmlns="http://schemas.openxmlformats.org/spreadsheetml/2006/main" count="3222" uniqueCount="1599">
  <si>
    <t>Būvniecības koptāme</t>
  </si>
  <si>
    <t>"Dzelzavas dienas aprūpes centra telpu rekonstrukcijas būvdarbi"</t>
  </si>
  <si>
    <t>Pasūtītājs: Madonas novada pašvaldība</t>
  </si>
  <si>
    <t>Reģistrācijas numurs: LV 90000054572</t>
  </si>
  <si>
    <t>Iepirkuma identifikācijas numurs MNP2010/48_ERAF</t>
  </si>
  <si>
    <t>Būves  nosaukums</t>
  </si>
  <si>
    <t>Dzelzavas dienas aprūpes centrs</t>
  </si>
  <si>
    <t>Objekta nosaukums</t>
  </si>
  <si>
    <t>Dzelzavas dienas aprūpes centra telpu rekonstrukcijas būvdarbi</t>
  </si>
  <si>
    <t>Objekta adrese</t>
  </si>
  <si>
    <t>Grāveri 1, Dzelzavas pag., Madonas novads</t>
  </si>
  <si>
    <t>Tāme sastādīta: ______________________</t>
  </si>
  <si>
    <t>N.p.k.</t>
  </si>
  <si>
    <t>Objekta izmaksas</t>
  </si>
  <si>
    <t>Kopā</t>
  </si>
  <si>
    <t>Kopsumma bez PVN</t>
  </si>
  <si>
    <t>PVN (21%)</t>
  </si>
  <si>
    <t>Pavisam kopā</t>
  </si>
  <si>
    <t xml:space="preserve">Sastādīja: </t>
  </si>
  <si>
    <t>____________________________________</t>
  </si>
  <si>
    <t>(paraksts un tā atšifrējums, datums)</t>
  </si>
  <si>
    <t>Sertifikāts Nr. ___</t>
  </si>
  <si>
    <t>Kopsavilkuma  par darbu vai konstruktīvo elementu veidiem</t>
  </si>
  <si>
    <t>Pasūtītājs</t>
  </si>
  <si>
    <t>Madonas novada pašvaldība</t>
  </si>
  <si>
    <t xml:space="preserve">Adrese: </t>
  </si>
  <si>
    <t>Saieta laukums 1, Madona, Madonas novads, LV-4801</t>
  </si>
  <si>
    <t>Nr. P.k.</t>
  </si>
  <si>
    <t>Kods, tāmes Nr.</t>
  </si>
  <si>
    <t xml:space="preserve">Darba veids vai konstruktīvā elementa nosaukums </t>
  </si>
  <si>
    <t>Tāmes izmaksas (Ls)</t>
  </si>
  <si>
    <t>tai skaitā</t>
  </si>
  <si>
    <t>Darbie-tilpība (c/h)</t>
  </si>
  <si>
    <t>Darba alga (Ls)</t>
  </si>
  <si>
    <t>Materiāli (Ls)</t>
  </si>
  <si>
    <t>Mehānismi (Ls)</t>
  </si>
  <si>
    <t>Dzelzavas dienas aprūpes centra telpu rekonstrukcija I kārta 1.finansējums</t>
  </si>
  <si>
    <t>KOPĀ:</t>
  </si>
  <si>
    <t>Virsizdevumi ... %</t>
  </si>
  <si>
    <t>t.sk. darba aizsardzība</t>
  </si>
  <si>
    <t>Peļņa ... %</t>
  </si>
  <si>
    <t>Darba devēja sociālais nodoklis (24,09%)</t>
  </si>
  <si>
    <t>PAVISAM KOPĀ:</t>
  </si>
  <si>
    <t xml:space="preserve">Tāmi sastādīja: </t>
  </si>
  <si>
    <t>________________________________</t>
  </si>
  <si>
    <t>Tāmi pārbaudīja:</t>
  </si>
  <si>
    <t xml:space="preserve">                       </t>
  </si>
  <si>
    <t>Sertifikāts Nr. _________</t>
  </si>
  <si>
    <t>Tai skaitā</t>
  </si>
  <si>
    <t>Darbietilpība (c/h)</t>
  </si>
  <si>
    <t>darba alga (Ls)</t>
  </si>
  <si>
    <t>materiāli (Ls)</t>
  </si>
  <si>
    <t>mehānismi (Ls)</t>
  </si>
  <si>
    <t>Dzelzavas dienas aprūpes centra telpu rekonstrukcija I kārta 2.finansējums</t>
  </si>
  <si>
    <t>BA-1/3/2010</t>
  </si>
  <si>
    <t>Demontāžas darbi</t>
  </si>
  <si>
    <t>Nr.</t>
  </si>
  <si>
    <t>kods</t>
  </si>
  <si>
    <t>Darbu un izdevumu nosaukums</t>
  </si>
  <si>
    <t>Mērv.</t>
  </si>
  <si>
    <t>Daudz.</t>
  </si>
  <si>
    <t>Vienības izmaksa</t>
  </si>
  <si>
    <t>Kopējā izmaksa</t>
  </si>
  <si>
    <t>Laika norm. c/h</t>
  </si>
  <si>
    <t>Darba samaksas likme (Ls/h)</t>
  </si>
  <si>
    <t>Darba alga Ls/h</t>
  </si>
  <si>
    <t>Materiāli     Ls</t>
  </si>
  <si>
    <t>Mehānismi Ls</t>
  </si>
  <si>
    <t>Kopā           Ls</t>
  </si>
  <si>
    <t>Darba alga Ls</t>
  </si>
  <si>
    <t>Materiāli        Ls</t>
  </si>
  <si>
    <t>Kopā        Ls</t>
  </si>
  <si>
    <t>1-1</t>
  </si>
  <si>
    <t>Azbestcementa šīfera lokšņu jumta seguma demontāža</t>
  </si>
  <si>
    <r>
      <t>m</t>
    </r>
    <r>
      <rPr>
        <b/>
        <vertAlign val="superscript"/>
        <sz val="10"/>
        <rFont val="Arial"/>
        <family val="2"/>
      </rPr>
      <t>2</t>
    </r>
  </si>
  <si>
    <t>1-2</t>
  </si>
  <si>
    <t>Dažādu joslu un virsmu skārda segumu  līdz 400mm demontāža</t>
  </si>
  <si>
    <t>m</t>
  </si>
  <si>
    <t>1-3</t>
  </si>
  <si>
    <t>Jumta pārkares dēļu apšuvuma demontāža</t>
  </si>
  <si>
    <t>1-4</t>
  </si>
  <si>
    <t>Jumta latojuma demontāža</t>
  </si>
  <si>
    <t>1-5</t>
  </si>
  <si>
    <t>Spāru demontāža</t>
  </si>
  <si>
    <t>1-6</t>
  </si>
  <si>
    <t>Kopturu, statņu, atgāžņu, spraišļu, savilču un mūrlatas demontāža</t>
  </si>
  <si>
    <t>1-7</t>
  </si>
  <si>
    <t>Ēkas gala dēļu sienas demontāža</t>
  </si>
  <si>
    <t>1-8</t>
  </si>
  <si>
    <t>Beramo siltumizolācijas materiālu noņemšana no pārseguma (zāģu skaidas)</t>
  </si>
  <si>
    <t>1-9</t>
  </si>
  <si>
    <t>Ķieģeļu sienas demontāža b=120mm</t>
  </si>
  <si>
    <r>
      <t>m</t>
    </r>
    <r>
      <rPr>
        <b/>
        <vertAlign val="superscript"/>
        <sz val="10"/>
        <rFont val="Arial"/>
        <family val="2"/>
      </rPr>
      <t>3</t>
    </r>
  </si>
  <si>
    <t>1-10</t>
  </si>
  <si>
    <t>Logu bloku ar palodzēm demontāža</t>
  </si>
  <si>
    <t>1-11</t>
  </si>
  <si>
    <t>Durvju bloku demontāža</t>
  </si>
  <si>
    <t>1-12</t>
  </si>
  <si>
    <t>Betona grīdas demontāža līdz 100mm biezumā</t>
  </si>
  <si>
    <t>1-13</t>
  </si>
  <si>
    <t xml:space="preserve">Betona pamatu nojaukšana </t>
  </si>
  <si>
    <t>1-14</t>
  </si>
  <si>
    <t>Skārda palodžu demontāža</t>
  </si>
  <si>
    <t>1-15</t>
  </si>
  <si>
    <t>Caurumu izkalšana ķieģeļu sienā</t>
  </si>
  <si>
    <t>gb.</t>
  </si>
  <si>
    <t>1-16</t>
  </si>
  <si>
    <t>Nepieciešamie demontāžas darbi ugnsmūra izbūvei</t>
  </si>
  <si>
    <t>objekts</t>
  </si>
  <si>
    <t>1-17</t>
  </si>
  <si>
    <t>Būvgružu iztīrīšana no telpām darbu gaitā, iznešana uz konteineru</t>
  </si>
  <si>
    <t>1-18</t>
  </si>
  <si>
    <t>Būvgružu aizvešana un utilizēšana</t>
  </si>
  <si>
    <t>1-19</t>
  </si>
  <si>
    <t>Asbestcementa lokšņu aizvešana un utilizēšana kaitīgo atkritumu poligonā</t>
  </si>
  <si>
    <t>t</t>
  </si>
  <si>
    <t>1-20</t>
  </si>
  <si>
    <t>Vieglas konstrukcojas pagaidu nojumes izbūve virs esošās ēkas, pirms jumta demontāžas darbu uzsākšanas</t>
  </si>
  <si>
    <t>kompl</t>
  </si>
  <si>
    <t>BA-2/3/2010</t>
  </si>
  <si>
    <t xml:space="preserve"> Būvlaukuma sagatavošanas un zemes darbi</t>
  </si>
  <si>
    <t>Zemes darbi</t>
  </si>
  <si>
    <t>2-1</t>
  </si>
  <si>
    <t xml:space="preserve">Objekta mobilizācija </t>
  </si>
  <si>
    <t>2-2</t>
  </si>
  <si>
    <t>Būvlaukuma uzmērīšana, būvbedres un būvasu nospraušana</t>
  </si>
  <si>
    <t>2-3</t>
  </si>
  <si>
    <t>Grunts izstrāde piebūves pamatiem, pārvietošana, grunts atpakaļ atbēršana un liekās grunts aizvešana uz pasūtītāja atbērtni</t>
  </si>
  <si>
    <t xml:space="preserve">objekts </t>
  </si>
  <si>
    <t>BA-3/3/2010</t>
  </si>
  <si>
    <t>Betona ,dzelzbetona un tērauda konstrukcijas</t>
  </si>
  <si>
    <t>3-1</t>
  </si>
  <si>
    <t>Ierīko šķembu pamatkārtu zem lentveida pamatiem</t>
  </si>
  <si>
    <t>3-2</t>
  </si>
  <si>
    <t>Šķembas</t>
  </si>
  <si>
    <r>
      <t>m</t>
    </r>
    <r>
      <rPr>
        <i/>
        <vertAlign val="superscript"/>
        <sz val="10"/>
        <rFont val="Arial"/>
        <family val="2"/>
      </rPr>
      <t>3</t>
    </r>
  </si>
  <si>
    <t>3-3</t>
  </si>
  <si>
    <t>Betona sagatavošanas kārtas ierīkošana zem pamatiem</t>
  </si>
  <si>
    <t>3-4</t>
  </si>
  <si>
    <t>Betons B7,5</t>
  </si>
  <si>
    <t>3-5</t>
  </si>
  <si>
    <t>Materiāli veidņiem</t>
  </si>
  <si>
    <t>3-6</t>
  </si>
  <si>
    <t>Montē saliekamā dzelzbetona blokus, veic šuvju aizdari ar javu</t>
  </si>
  <si>
    <t>3-7</t>
  </si>
  <si>
    <t xml:space="preserve">Pamatu bloki h-600, b-300 </t>
  </si>
  <si>
    <t>3-8</t>
  </si>
  <si>
    <t>Mūrjava M100</t>
  </si>
  <si>
    <t>3-9</t>
  </si>
  <si>
    <t>Betonē monolītus dzelzbetona pamatus un sijas</t>
  </si>
  <si>
    <t>3-10</t>
  </si>
  <si>
    <r>
      <t>m</t>
    </r>
    <r>
      <rPr>
        <i/>
        <vertAlign val="superscript"/>
        <sz val="10"/>
        <rFont val="Arial"/>
        <family val="2"/>
      </rPr>
      <t>2</t>
    </r>
  </si>
  <si>
    <t>3-11</t>
  </si>
  <si>
    <t>Stiegrojums AIII</t>
  </si>
  <si>
    <t>kg</t>
  </si>
  <si>
    <t>3-12</t>
  </si>
  <si>
    <t xml:space="preserve">Ieliekamās detaļas </t>
  </si>
  <si>
    <t>3-13</t>
  </si>
  <si>
    <t>Betons B25 F50</t>
  </si>
  <si>
    <t>3-14</t>
  </si>
  <si>
    <t>Betons B25 F150</t>
  </si>
  <si>
    <t>3-15</t>
  </si>
  <si>
    <t>Montāžas palīgmateriāli</t>
  </si>
  <si>
    <t>3-16</t>
  </si>
  <si>
    <t>Horizontālās hidroizolācijas ierīkošana pamatiem</t>
  </si>
  <si>
    <t>3-17</t>
  </si>
  <si>
    <t>Ruberoīds 2 kārtas</t>
  </si>
  <si>
    <t>m2</t>
  </si>
  <si>
    <t>3-18</t>
  </si>
  <si>
    <t>Bitumena mastika</t>
  </si>
  <si>
    <t>kg.</t>
  </si>
  <si>
    <t>3-19</t>
  </si>
  <si>
    <t>Pamatu siltumizolācijas ierīkošana</t>
  </si>
  <si>
    <t>3-20</t>
  </si>
  <si>
    <t>Siltumizolācija b=50mm</t>
  </si>
  <si>
    <t>3-21</t>
  </si>
  <si>
    <t>Līme siltumizolācijai</t>
  </si>
  <si>
    <t>Betona grīda uz grunts GR-3</t>
  </si>
  <si>
    <t>3-22</t>
  </si>
  <si>
    <t>Šķembu pamatkārtas ierīkošana</t>
  </si>
  <si>
    <t>3-23</t>
  </si>
  <si>
    <t>3-24</t>
  </si>
  <si>
    <t>Betona sagatavošanas kārtas ierīkošana</t>
  </si>
  <si>
    <t>3-25</t>
  </si>
  <si>
    <t>3-26</t>
  </si>
  <si>
    <t>Hidroizolācijas ierīkošana grīdai</t>
  </si>
  <si>
    <t>3-27</t>
  </si>
  <si>
    <t>3-28</t>
  </si>
  <si>
    <t>3-29</t>
  </si>
  <si>
    <t>Siltumizolācijas ierīkošana grīdas konstrukcijā</t>
  </si>
  <si>
    <t>3-30</t>
  </si>
  <si>
    <t>3-31</t>
  </si>
  <si>
    <t>Grīdas konstrukcijas stiegrošana</t>
  </si>
  <si>
    <t>3-32</t>
  </si>
  <si>
    <t>Stiegru siets Ø8/Ø8 s150/150</t>
  </si>
  <si>
    <t>3-33</t>
  </si>
  <si>
    <t>3-34</t>
  </si>
  <si>
    <t>Grīdas betonēšana</t>
  </si>
  <si>
    <t>3-35</t>
  </si>
  <si>
    <t>Betons B15</t>
  </si>
  <si>
    <t>I stāva pārsegums</t>
  </si>
  <si>
    <t>3-36</t>
  </si>
  <si>
    <t xml:space="preserve">Montē pārseguma paneļus ar autoceltni,  starppaneļu šuves steigro, aizbetonē, paneļus noenkuro, izmanto smalkas frakcijas betonu </t>
  </si>
  <si>
    <t>gb</t>
  </si>
  <si>
    <t>3-37</t>
  </si>
  <si>
    <t>Pārseguma panelis EP6/200-1 3005x1196x200</t>
  </si>
  <si>
    <t>3-38</t>
  </si>
  <si>
    <t xml:space="preserve">Paaugstinātas stiprības pārseguma panelis EP6/200-1 3005x1196x200 </t>
  </si>
  <si>
    <t>3-39</t>
  </si>
  <si>
    <t>Pārseguma panelis EP6/220-2 1545x760x200</t>
  </si>
  <si>
    <t>3-40</t>
  </si>
  <si>
    <t>Stiegrojums</t>
  </si>
  <si>
    <t>3-41</t>
  </si>
  <si>
    <t>Smalkgraudains betons B30 šuvju aizpildīšanai</t>
  </si>
  <si>
    <t>3-42</t>
  </si>
  <si>
    <t>Metāla sija POK 200 L=1700 mm</t>
  </si>
  <si>
    <t>3-43</t>
  </si>
  <si>
    <t>3-44</t>
  </si>
  <si>
    <t>Uzstāda veidņus, stiegro, betonē monolītu dzelzbetona pārsegumu un pārseguma siju</t>
  </si>
  <si>
    <t>3-45</t>
  </si>
  <si>
    <t>Materiāli pārseguma veidņiem</t>
  </si>
  <si>
    <t>3-46</t>
  </si>
  <si>
    <t>3-47</t>
  </si>
  <si>
    <t>3-48</t>
  </si>
  <si>
    <t>Betons B25</t>
  </si>
  <si>
    <t>3-49</t>
  </si>
  <si>
    <t>Saliekamā dzelzbetona kāpņu elementu montāža ar masu līdz 2,5t</t>
  </si>
  <si>
    <t>3-50</t>
  </si>
  <si>
    <t>Kāpņu laukums KP-1</t>
  </si>
  <si>
    <t>3-51</t>
  </si>
  <si>
    <t>Kāpņu laukums KP-2</t>
  </si>
  <si>
    <t>3-52</t>
  </si>
  <si>
    <t>Kāpņu laids KL-1</t>
  </si>
  <si>
    <t>3-53</t>
  </si>
  <si>
    <t>Kāpņu laids KL-2</t>
  </si>
  <si>
    <t>3-54</t>
  </si>
  <si>
    <t xml:space="preserve">Tērauda plāksne 120x100x8mm </t>
  </si>
  <si>
    <t>3-55</t>
  </si>
  <si>
    <t>Autoceltņa pakalpojumi</t>
  </si>
  <si>
    <t>st</t>
  </si>
  <si>
    <t>3-56</t>
  </si>
  <si>
    <t>3-57</t>
  </si>
  <si>
    <t>Monolītu dz.betona atbalsta spilvenu izbūve metāla sijām</t>
  </si>
  <si>
    <t>3-58</t>
  </si>
  <si>
    <t>3-59</t>
  </si>
  <si>
    <t xml:space="preserve">Stiegrojums </t>
  </si>
  <si>
    <t>3-60</t>
  </si>
  <si>
    <t>3-61</t>
  </si>
  <si>
    <t xml:space="preserve">Metāla pārseguma siju montāža ar autoceltni </t>
  </si>
  <si>
    <t>3-62</t>
  </si>
  <si>
    <t>Metāla sija HE240B</t>
  </si>
  <si>
    <t>3-63</t>
  </si>
  <si>
    <t>Metāla sija IPE240</t>
  </si>
  <si>
    <t>3-64</t>
  </si>
  <si>
    <t>3-65</t>
  </si>
  <si>
    <t xml:space="preserve">Lifta stiprinājuma sija </t>
  </si>
  <si>
    <t>3-66</t>
  </si>
  <si>
    <t>Dzelzbetona sijas izbūve</t>
  </si>
  <si>
    <t>3-67</t>
  </si>
  <si>
    <t>3-68</t>
  </si>
  <si>
    <t>3-69</t>
  </si>
  <si>
    <t>Betona josla virs mūra</t>
  </si>
  <si>
    <t>3-70</t>
  </si>
  <si>
    <t>Monalītas dzelzsbetona joslas veidņošana, stiegrošana, betonēšana virs mūra konstrukcijām</t>
  </si>
  <si>
    <t>3-71</t>
  </si>
  <si>
    <t>3-72</t>
  </si>
  <si>
    <t>Stegrojums</t>
  </si>
  <si>
    <t>3-73</t>
  </si>
  <si>
    <t>BA-4/3/2010</t>
  </si>
  <si>
    <t>Mūrnieku darbi</t>
  </si>
  <si>
    <t>Mūra sienas un starpsienas</t>
  </si>
  <si>
    <t>4-1</t>
  </si>
  <si>
    <t>Fibo bloku sienas mūrēšana b=300mm</t>
  </si>
  <si>
    <t>4-2</t>
  </si>
  <si>
    <t>Fibo bloki 300mm</t>
  </si>
  <si>
    <t>4-3</t>
  </si>
  <si>
    <t>Fibo armatūra</t>
  </si>
  <si>
    <t>4-4</t>
  </si>
  <si>
    <t>Mūrjava</t>
  </si>
  <si>
    <t>4-5</t>
  </si>
  <si>
    <t>Fibo bloku sienas mūrēšana b=200</t>
  </si>
  <si>
    <t>4-6</t>
  </si>
  <si>
    <t>Fibo bloki 200mm</t>
  </si>
  <si>
    <t>4-7</t>
  </si>
  <si>
    <t>4-8</t>
  </si>
  <si>
    <t>Fibo bloku sienas mūrēšana b=150</t>
  </si>
  <si>
    <t>Fibo bloki 150mm</t>
  </si>
  <si>
    <t>4-9</t>
  </si>
  <si>
    <t xml:space="preserve">Ailu pārsedžu montāža </t>
  </si>
  <si>
    <t xml:space="preserve">gb </t>
  </si>
  <si>
    <t>4-10</t>
  </si>
  <si>
    <t xml:space="preserve"> Pārsedze AP-1</t>
  </si>
  <si>
    <t>4-11</t>
  </si>
  <si>
    <t xml:space="preserve"> Pārsedze AP-2</t>
  </si>
  <si>
    <t>4-12</t>
  </si>
  <si>
    <t xml:space="preserve"> Pārsedze AP-3</t>
  </si>
  <si>
    <t>4-13</t>
  </si>
  <si>
    <t xml:space="preserve"> Pārsedze AP-4</t>
  </si>
  <si>
    <t>4-14</t>
  </si>
  <si>
    <t xml:space="preserve"> Pārsedze AP-5</t>
  </si>
  <si>
    <t>4-15</t>
  </si>
  <si>
    <t xml:space="preserve"> Pārsedze AP-6</t>
  </si>
  <si>
    <t>4-16</t>
  </si>
  <si>
    <t>Steigrota dz.betona pārsedze DZAP-1</t>
  </si>
  <si>
    <t>4-17</t>
  </si>
  <si>
    <t xml:space="preserve">Montāžas palīgmateriāli </t>
  </si>
  <si>
    <t>kompl.</t>
  </si>
  <si>
    <t>4-18</t>
  </si>
  <si>
    <t xml:space="preserve">Horizontālās hidroizolācija </t>
  </si>
  <si>
    <t>BA-5/3/2010</t>
  </si>
  <si>
    <t>Namdaru darbi</t>
  </si>
  <si>
    <t>Materiāli Ls</t>
  </si>
  <si>
    <t>Kopā Ls</t>
  </si>
  <si>
    <t>Grīdu konstrukcijas</t>
  </si>
  <si>
    <t>GR-2</t>
  </si>
  <si>
    <t>5-2</t>
  </si>
  <si>
    <t>Betona izlīdzinošās kārtas ierīkošana virs dzelzbetona paneļiem b=40mm</t>
  </si>
  <si>
    <t>5-3</t>
  </si>
  <si>
    <t>Hidroizolācija</t>
  </si>
  <si>
    <t>5-4</t>
  </si>
  <si>
    <t>GR-4</t>
  </si>
  <si>
    <t>5-5</t>
  </si>
  <si>
    <t>Koka pārseguma siju uzstādīšana un nostiprināšana starp metāla sijām</t>
  </si>
  <si>
    <t>5-6</t>
  </si>
  <si>
    <t xml:space="preserve">Antiseptizētas sijas </t>
  </si>
  <si>
    <t>5-7</t>
  </si>
  <si>
    <t>5-8</t>
  </si>
  <si>
    <t>Koka latu tieša stiprināšana pie pārseguma sijām abās sijas pusēs</t>
  </si>
  <si>
    <t>5-9</t>
  </si>
  <si>
    <t>Antiseptizētas koka latas 50x50mm</t>
  </si>
  <si>
    <t>5-10</t>
  </si>
  <si>
    <t>5-11</t>
  </si>
  <si>
    <t>Cieša dēļu klāja ierīkošana starp pārseguma sijām</t>
  </si>
  <si>
    <t>5-12</t>
  </si>
  <si>
    <t>Antiseptizēti dēļi b=20mm</t>
  </si>
  <si>
    <t>5-13</t>
  </si>
  <si>
    <t>5-14</t>
  </si>
  <si>
    <t>Skaņas izolācijas ierīkošana starp pārseguma sijām</t>
  </si>
  <si>
    <t>5-15</t>
  </si>
  <si>
    <t>Akmens vate b=100mm</t>
  </si>
  <si>
    <t>5-16</t>
  </si>
  <si>
    <t>Pretvēja plēves ierīkošana</t>
  </si>
  <si>
    <t>5-17</t>
  </si>
  <si>
    <t>Pretvēja plēve</t>
  </si>
  <si>
    <t>5-18</t>
  </si>
  <si>
    <t>Distances lata</t>
  </si>
  <si>
    <t>5-19</t>
  </si>
  <si>
    <t>5-20</t>
  </si>
  <si>
    <t>Retināts dēļu klājs</t>
  </si>
  <si>
    <t>5-21</t>
  </si>
  <si>
    <t>Antiseptizēti dēļi</t>
  </si>
  <si>
    <t>5-22</t>
  </si>
  <si>
    <t>5-23</t>
  </si>
  <si>
    <t>Grīdas plātnes montāža b=22mm</t>
  </si>
  <si>
    <t>5-24</t>
  </si>
  <si>
    <t>OSB plātne četrpusēji spundēta b=22mm</t>
  </si>
  <si>
    <t>5-25</t>
  </si>
  <si>
    <t>GR-5</t>
  </si>
  <si>
    <t>5-26</t>
  </si>
  <si>
    <t xml:space="preserve">II stāva nesošo koka konstrukciju sagatavošana un uzstādīšana </t>
  </si>
  <si>
    <t>5-27</t>
  </si>
  <si>
    <t>Antiseptizēti zāģmateriāli</t>
  </si>
  <si>
    <t>5-28</t>
  </si>
  <si>
    <t>Montāžas palīgmateriāli (metāla stiprinājumi, naglas, skrūves u.c)</t>
  </si>
  <si>
    <t>5-29</t>
  </si>
  <si>
    <t xml:space="preserve">Siltumizolācijas ierīkošana jumta konstrukcijā starp spārēm un II stāva pārsegumā starp sijām </t>
  </si>
  <si>
    <t>5-30</t>
  </si>
  <si>
    <t>Vate plāksnēs b=200mm</t>
  </si>
  <si>
    <t>5-31</t>
  </si>
  <si>
    <t>Tvaika izolācijas ierīkošana</t>
  </si>
  <si>
    <t>5-32</t>
  </si>
  <si>
    <t xml:space="preserve">Tvaika izolācija </t>
  </si>
  <si>
    <t>5-33</t>
  </si>
  <si>
    <t>5-34</t>
  </si>
  <si>
    <r>
      <t>Siltumizolācijas ierīkošana starp sijām b</t>
    </r>
    <r>
      <rPr>
        <b/>
        <vertAlign val="subscript"/>
        <sz val="10"/>
        <rFont val="Arial"/>
        <family val="2"/>
      </rPr>
      <t>kop</t>
    </r>
    <r>
      <rPr>
        <b/>
        <sz val="10"/>
        <rFont val="Arial"/>
        <family val="2"/>
      </rPr>
      <t>.=200mm</t>
    </r>
  </si>
  <si>
    <t>5-35</t>
  </si>
  <si>
    <t>Siltumizolācija b=100mm</t>
  </si>
  <si>
    <t>5-36</t>
  </si>
  <si>
    <t>5-37</t>
  </si>
  <si>
    <t>Koka latu tieša stiprināšana uz sijām</t>
  </si>
  <si>
    <t>5-38</t>
  </si>
  <si>
    <t>Antiseptizētas koka latas 50x50</t>
  </si>
  <si>
    <t>5-39</t>
  </si>
  <si>
    <t>5-40</t>
  </si>
  <si>
    <t>5-41</t>
  </si>
  <si>
    <t>5-42</t>
  </si>
  <si>
    <t>Antiseptizēta distances lata</t>
  </si>
  <si>
    <t>5-43</t>
  </si>
  <si>
    <t>5-44</t>
  </si>
  <si>
    <t>Retināta dēļu klāja ierīkošana virs pārseguma</t>
  </si>
  <si>
    <t>5-45</t>
  </si>
  <si>
    <t>5-46</t>
  </si>
  <si>
    <t>Sienu konstrukcijas</t>
  </si>
  <si>
    <t>S-4</t>
  </si>
  <si>
    <t>5-47</t>
  </si>
  <si>
    <t>Sienu apšūšana ar ģipškartonu uz metāla karkasa</t>
  </si>
  <si>
    <t>5-48</t>
  </si>
  <si>
    <t>UD-profili</t>
  </si>
  <si>
    <t>5-49</t>
  </si>
  <si>
    <t>CD- profili</t>
  </si>
  <si>
    <t>5-50</t>
  </si>
  <si>
    <t>Amortizācijas lenta</t>
  </si>
  <si>
    <t>5-51</t>
  </si>
  <si>
    <t>U veida skavas</t>
  </si>
  <si>
    <t>5-52</t>
  </si>
  <si>
    <t>Ģipškartons</t>
  </si>
  <si>
    <t>5-53</t>
  </si>
  <si>
    <t>S-5</t>
  </si>
  <si>
    <t>5-54</t>
  </si>
  <si>
    <t>Ģipškartona starpsienas ar metāla karkasu izbūve</t>
  </si>
  <si>
    <t>5-55</t>
  </si>
  <si>
    <t>UW profils 50mm</t>
  </si>
  <si>
    <t xml:space="preserve">m </t>
  </si>
  <si>
    <t>5-56</t>
  </si>
  <si>
    <t>CW profils 50mm</t>
  </si>
  <si>
    <t>5-57</t>
  </si>
  <si>
    <t>5-58</t>
  </si>
  <si>
    <t>Skaņas izolācija 50mm</t>
  </si>
  <si>
    <t>5-59</t>
  </si>
  <si>
    <t>Ģipškartons GKB x4</t>
  </si>
  <si>
    <t>5-60</t>
  </si>
  <si>
    <t>S-6</t>
  </si>
  <si>
    <t>5-61</t>
  </si>
  <si>
    <r>
      <t>Koka karkasa starpsienas ar ailēm izbūve b</t>
    </r>
    <r>
      <rPr>
        <b/>
        <vertAlign val="subscript"/>
        <sz val="10"/>
        <rFont val="Arial"/>
        <family val="2"/>
      </rPr>
      <t>kop</t>
    </r>
    <r>
      <rPr>
        <b/>
        <sz val="10"/>
        <rFont val="Arial"/>
        <family val="2"/>
      </rPr>
      <t>=200mm</t>
    </r>
  </si>
  <si>
    <t>5-62</t>
  </si>
  <si>
    <t>5-63</t>
  </si>
  <si>
    <t>Skaņas izolācija b=150mm</t>
  </si>
  <si>
    <t>5-64</t>
  </si>
  <si>
    <t>5-65</t>
  </si>
  <si>
    <t>S-8</t>
  </si>
  <si>
    <t>5-66</t>
  </si>
  <si>
    <r>
      <t>Jumta konstrukcijas izolācijas darbi b</t>
    </r>
    <r>
      <rPr>
        <b/>
        <vertAlign val="subscript"/>
        <sz val="10"/>
        <rFont val="Arial"/>
        <family val="2"/>
      </rPr>
      <t>kop</t>
    </r>
    <r>
      <rPr>
        <b/>
        <sz val="10"/>
        <rFont val="Arial"/>
        <family val="2"/>
      </rPr>
      <t>=200mm</t>
    </r>
  </si>
  <si>
    <t>5-67</t>
  </si>
  <si>
    <t>Akmens vate plāksnēs</t>
  </si>
  <si>
    <t>Jumta konstrukcija un segums</t>
  </si>
  <si>
    <t>5-68</t>
  </si>
  <si>
    <t>Jumta nesošās konstrukcijas izbūve</t>
  </si>
  <si>
    <t>5-69</t>
  </si>
  <si>
    <t>5-70</t>
  </si>
  <si>
    <t>5-71</t>
  </si>
  <si>
    <t>Jumta seguma izbūve</t>
  </si>
  <si>
    <t>5-72</t>
  </si>
  <si>
    <t>Antikondensāta plēves montāža</t>
  </si>
  <si>
    <t>5-73</t>
  </si>
  <si>
    <t xml:space="preserve">Antiseptizēta distances lata </t>
  </si>
  <si>
    <t>m3</t>
  </si>
  <si>
    <t>5-74</t>
  </si>
  <si>
    <t xml:space="preserve">Antiseptizēta sķērslata </t>
  </si>
  <si>
    <t>5-75</t>
  </si>
  <si>
    <t>Metāla jumta segums ieskaitot papildelementus</t>
  </si>
  <si>
    <t>5-76</t>
  </si>
  <si>
    <t>Montāžas palīgmateriāli (skrūves, naglas u.c.)</t>
  </si>
  <si>
    <t>5-77</t>
  </si>
  <si>
    <t>Jumta pārkares apšūšana ar apdares dēļiem</t>
  </si>
  <si>
    <t>5-78</t>
  </si>
  <si>
    <t xml:space="preserve"> Krāsots dēlis jumta malām 25x120</t>
  </si>
  <si>
    <t>5-79</t>
  </si>
  <si>
    <t>Latas</t>
  </si>
  <si>
    <t>5-80</t>
  </si>
  <si>
    <t>Krāsoti dēļi</t>
  </si>
  <si>
    <t>5-81</t>
  </si>
  <si>
    <t>Teknes un notekcaurules</t>
  </si>
  <si>
    <t>5-82</t>
  </si>
  <si>
    <t>Tekņu montāža strādājot uz sastatnēm</t>
  </si>
  <si>
    <t>5-83</t>
  </si>
  <si>
    <t>Notekcauruļu montāža strādājot uz sastatnēm</t>
  </si>
  <si>
    <t>5-84</t>
  </si>
  <si>
    <t>Jumta lūkas uzstādīšana</t>
  </si>
  <si>
    <t>5-85</t>
  </si>
  <si>
    <t>Jumta lūka VLT 46x61</t>
  </si>
  <si>
    <t>5-86</t>
  </si>
  <si>
    <t>5-87</t>
  </si>
  <si>
    <t>Sniega barjeru uzstādīšana</t>
  </si>
  <si>
    <t>5-88</t>
  </si>
  <si>
    <t>Sniega barjeras</t>
  </si>
  <si>
    <t>5-89</t>
  </si>
  <si>
    <t>Jumtiņš virs ieejas</t>
  </si>
  <si>
    <t>5-90</t>
  </si>
  <si>
    <t>Iejas jumtiņa izgatavošana un uzstādīšana</t>
  </si>
  <si>
    <t>5-91</t>
  </si>
  <si>
    <t>Ieejas jumtiņš iesk.montāžas palīgamateriālus</t>
  </si>
  <si>
    <t>Evakuācijas kāpnes</t>
  </si>
  <si>
    <t>5-92</t>
  </si>
  <si>
    <t xml:space="preserve">Metāla kāpņu izgatavošana un uzstādīšana </t>
  </si>
  <si>
    <t>5-93</t>
  </si>
  <si>
    <t>Krāsota metāla konstrukcija</t>
  </si>
  <si>
    <t>5-94</t>
  </si>
  <si>
    <t xml:space="preserve">Kāpņu pakāpieni </t>
  </si>
  <si>
    <t>5-95</t>
  </si>
  <si>
    <t>Kāpņu platforma</t>
  </si>
  <si>
    <t>5-96</t>
  </si>
  <si>
    <t>Kāpņu margas</t>
  </si>
  <si>
    <t>5-97</t>
  </si>
  <si>
    <t>Ķīmiskie enkuri</t>
  </si>
  <si>
    <t>5-98</t>
  </si>
  <si>
    <t>5-99</t>
  </si>
  <si>
    <t>Metāla kāpnes pie sienas</t>
  </si>
  <si>
    <t>5-100</t>
  </si>
  <si>
    <t>Metāla kāpnes ar montāžas palīgmateriāliem</t>
  </si>
  <si>
    <t>5-101</t>
  </si>
  <si>
    <t>Ārējie apdares darbi mūrētajām konstrukcijām (fasādes apmetums, fasādes krāsa)</t>
  </si>
  <si>
    <t>Uguns mūra apdare virs jumta konstrukcijas</t>
  </si>
  <si>
    <t>Cementa kaļķa java</t>
  </si>
  <si>
    <t xml:space="preserve">Grunts </t>
  </si>
  <si>
    <t>litri</t>
  </si>
  <si>
    <t>Krāsa ar toni</t>
  </si>
  <si>
    <t>Skursteņu apdare virs jumta konstrukcijas</t>
  </si>
  <si>
    <t xml:space="preserve">Sastatnes </t>
  </si>
  <si>
    <t>5-102</t>
  </si>
  <si>
    <t>Sastatņu uzstādīšana, nojaukšana</t>
  </si>
  <si>
    <t>BA-6/3/2010</t>
  </si>
  <si>
    <t xml:space="preserve">Durvis </t>
  </si>
  <si>
    <t>Logi</t>
  </si>
  <si>
    <t>6-1</t>
  </si>
  <si>
    <t>Logu bloku ar palodzēm uzstādīšana</t>
  </si>
  <si>
    <t>6-2</t>
  </si>
  <si>
    <t>Logs L-3</t>
  </si>
  <si>
    <t>6-3</t>
  </si>
  <si>
    <t>Logu un durvju bloks L-6</t>
  </si>
  <si>
    <t>6-4</t>
  </si>
  <si>
    <t>Logu bloks L-7</t>
  </si>
  <si>
    <t>6-5</t>
  </si>
  <si>
    <t>Logs L-8</t>
  </si>
  <si>
    <t>6-6</t>
  </si>
  <si>
    <t>Logs L-9</t>
  </si>
  <si>
    <t>Logs L-9 EI30</t>
  </si>
  <si>
    <t>6-7</t>
  </si>
  <si>
    <t xml:space="preserve">Palodze (iekšejā) </t>
  </si>
  <si>
    <t>6-8</t>
  </si>
  <si>
    <t xml:space="preserve">Palodze (ārējā) skārda </t>
  </si>
  <si>
    <t>6-9</t>
  </si>
  <si>
    <t>Montāžs palīgmateriāli (skrūves, blīvēšanas materiāli, apdares līstes u.c.)</t>
  </si>
  <si>
    <t>kmpl</t>
  </si>
  <si>
    <t>6-10</t>
  </si>
  <si>
    <t>Jumta logu montāža</t>
  </si>
  <si>
    <t>6-11</t>
  </si>
  <si>
    <t>Jumta logs L-10 ar siltumizolējošu pieslēgumu</t>
  </si>
  <si>
    <t>6-12</t>
  </si>
  <si>
    <t>Durvis</t>
  </si>
  <si>
    <t>6-13</t>
  </si>
  <si>
    <t>Durvju bloku montāža</t>
  </si>
  <si>
    <t>6-14</t>
  </si>
  <si>
    <t>Durvis D-2</t>
  </si>
  <si>
    <t>6-15</t>
  </si>
  <si>
    <t>Durvis D-3</t>
  </si>
  <si>
    <t>6-16</t>
  </si>
  <si>
    <t xml:space="preserve"> Durvis D-4</t>
  </si>
  <si>
    <t>6-17</t>
  </si>
  <si>
    <t>Durvis D-5</t>
  </si>
  <si>
    <t>6-18</t>
  </si>
  <si>
    <t>Durvis D-6</t>
  </si>
  <si>
    <t>6-19</t>
  </si>
  <si>
    <t>Durvis D-7</t>
  </si>
  <si>
    <t>6-20</t>
  </si>
  <si>
    <t>Durvis D-8</t>
  </si>
  <si>
    <t>6-21</t>
  </si>
  <si>
    <t>Durvis D-9</t>
  </si>
  <si>
    <t>6-22</t>
  </si>
  <si>
    <t>6-23</t>
  </si>
  <si>
    <t>Ugunsdrošas lūkas uzstādīšana</t>
  </si>
  <si>
    <t>6-24</t>
  </si>
  <si>
    <t>Lūka komplektā ar montāžas palīgmateriāliem</t>
  </si>
  <si>
    <t>BA-7/3/2010</t>
  </si>
  <si>
    <t>Iekšējie apdares darbi 2.stāvs</t>
  </si>
  <si>
    <t>Grīdas</t>
  </si>
  <si>
    <t>7-20</t>
  </si>
  <si>
    <t xml:space="preserve">Kāpņu konstrukcijas sagatavošana grīdas seguma uzklāšanas </t>
  </si>
  <si>
    <t>7-21</t>
  </si>
  <si>
    <t>Epoksīda sveķu grīdas segums, ar dekoratīvām pārslām un pretslīdes īpašībām kāpnēm</t>
  </si>
  <si>
    <t>7-22</t>
  </si>
  <si>
    <t>Hidroizolācijas ierīkošana grīdām sanitārajos mezglos</t>
  </si>
  <si>
    <t>7-23</t>
  </si>
  <si>
    <t>7-24</t>
  </si>
  <si>
    <t>Lenta stūriem</t>
  </si>
  <si>
    <t>7-25</t>
  </si>
  <si>
    <t>Grīdas flīzēšana</t>
  </si>
  <si>
    <t>7-26</t>
  </si>
  <si>
    <t>Flīžu līme</t>
  </si>
  <si>
    <t>7-27</t>
  </si>
  <si>
    <t>Flīzes</t>
  </si>
  <si>
    <t>7-28</t>
  </si>
  <si>
    <t>Šuvju masa</t>
  </si>
  <si>
    <t>7-29</t>
  </si>
  <si>
    <t>Linoleja grīdas seguma montāža pielīmējot visā plaknē un sametinot saduršuves</t>
  </si>
  <si>
    <t>7-30</t>
  </si>
  <si>
    <t>Linolejs</t>
  </si>
  <si>
    <t>7-31</t>
  </si>
  <si>
    <t>Līme linolejam</t>
  </si>
  <si>
    <t>7-32</t>
  </si>
  <si>
    <t>Sakausēšanas aukla šuvēm</t>
  </si>
  <si>
    <t>7-33</t>
  </si>
  <si>
    <t>Grīdlīstes montāža</t>
  </si>
  <si>
    <t>7-34</t>
  </si>
  <si>
    <t xml:space="preserve">Grīdlīste </t>
  </si>
  <si>
    <t>7-35</t>
  </si>
  <si>
    <t>Sienas</t>
  </si>
  <si>
    <t>7-36</t>
  </si>
  <si>
    <t>Sienu apmešana ar cementa kaļķa javu</t>
  </si>
  <si>
    <t>7-37</t>
  </si>
  <si>
    <t>7-38</t>
  </si>
  <si>
    <t>Mūra sienu gruntēšana, špaktelēšana, slīpēšana</t>
  </si>
  <si>
    <t>7-39</t>
  </si>
  <si>
    <t>7-40</t>
  </si>
  <si>
    <t>Špaktelis</t>
  </si>
  <si>
    <t>7-41</t>
  </si>
  <si>
    <t>Smilšpapīrs</t>
  </si>
  <si>
    <t>7-42</t>
  </si>
  <si>
    <t>Paligmateriāli</t>
  </si>
  <si>
    <t>7-43</t>
  </si>
  <si>
    <t>Mūra sienu krāsošana</t>
  </si>
  <si>
    <t>7-44</t>
  </si>
  <si>
    <t>7-45</t>
  </si>
  <si>
    <t>7-46</t>
  </si>
  <si>
    <t>Šauru plakņu un ailu sānmalu apdare</t>
  </si>
  <si>
    <t>7-47</t>
  </si>
  <si>
    <t>7-48</t>
  </si>
  <si>
    <t>Sausais apmetums</t>
  </si>
  <si>
    <t>7-49</t>
  </si>
  <si>
    <t>7-50</t>
  </si>
  <si>
    <t>7-51</t>
  </si>
  <si>
    <t>7-52</t>
  </si>
  <si>
    <t>7-53</t>
  </si>
  <si>
    <t>7-54</t>
  </si>
  <si>
    <t>Ģipškartona sienu gruntēšana špaktelēšana, slīpēšana</t>
  </si>
  <si>
    <t>7-55</t>
  </si>
  <si>
    <t>Grunts</t>
  </si>
  <si>
    <t>7-56</t>
  </si>
  <si>
    <t>7-57</t>
  </si>
  <si>
    <t>7-58</t>
  </si>
  <si>
    <t>Palīgmateriāli</t>
  </si>
  <si>
    <t>7-59</t>
  </si>
  <si>
    <t>Ģipškartona sienu krāsošana</t>
  </si>
  <si>
    <t>7-60</t>
  </si>
  <si>
    <t>7-61</t>
  </si>
  <si>
    <t>7-62</t>
  </si>
  <si>
    <t>Hidroizolācijas ierīkošana sienām WC</t>
  </si>
  <si>
    <t>7-63</t>
  </si>
  <si>
    <t>7-64</t>
  </si>
  <si>
    <t>7-65</t>
  </si>
  <si>
    <t>Sienu flīzēšana</t>
  </si>
  <si>
    <t>7-66</t>
  </si>
  <si>
    <t xml:space="preserve">Flīžu līme </t>
  </si>
  <si>
    <t>7-67</t>
  </si>
  <si>
    <t>7-68</t>
  </si>
  <si>
    <t>Griesti</t>
  </si>
  <si>
    <t>7-69</t>
  </si>
  <si>
    <t>Betona griestu gruntēšana, špaktelēšana, slīpēšana</t>
  </si>
  <si>
    <t>7-70</t>
  </si>
  <si>
    <t>7-71</t>
  </si>
  <si>
    <t xml:space="preserve">Špaktelis </t>
  </si>
  <si>
    <t>7-72</t>
  </si>
  <si>
    <t>7-73</t>
  </si>
  <si>
    <t>Ģipškartona griestu izbūve</t>
  </si>
  <si>
    <t>7-74</t>
  </si>
  <si>
    <t>Ģipškartona griestu špaktelēšana</t>
  </si>
  <si>
    <t>7-75</t>
  </si>
  <si>
    <t>Griestu krāsošana</t>
  </si>
  <si>
    <t>7-76</t>
  </si>
  <si>
    <t xml:space="preserve">Iekārto plākšņu grietu montāža </t>
  </si>
  <si>
    <t>BA-8/3/2010</t>
  </si>
  <si>
    <t>Iekšējā elektroapgāde</t>
  </si>
  <si>
    <t>8-1</t>
  </si>
  <si>
    <t>Elektroapgādes sistēmas pieslēgšana galvenajā sadalē GS</t>
  </si>
  <si>
    <t>8-2</t>
  </si>
  <si>
    <t>Grupu sadale v/apm.  S1, S2 36 mod. Esošo vietā ar PE, N klemēm IP40</t>
  </si>
  <si>
    <t>gab.</t>
  </si>
  <si>
    <t>8-3</t>
  </si>
  <si>
    <t>Sadalne 36 mod.</t>
  </si>
  <si>
    <t>8-4</t>
  </si>
  <si>
    <t>Ievada slēdzis 3/32A</t>
  </si>
  <si>
    <t>8-5</t>
  </si>
  <si>
    <t>Grupu aizsardzības automāts 1B10</t>
  </si>
  <si>
    <t>8-6</t>
  </si>
  <si>
    <t>Grupu aizsardzības automāts 1B16</t>
  </si>
  <si>
    <t>8-7</t>
  </si>
  <si>
    <t>Grupu aizsardzības automāts 1C2</t>
  </si>
  <si>
    <t>8-8</t>
  </si>
  <si>
    <t>Grupu aizsardzības automāts 1B6</t>
  </si>
  <si>
    <t>8-9</t>
  </si>
  <si>
    <t>Grupu aizsardzības automāts  3B25</t>
  </si>
  <si>
    <t>8-10</t>
  </si>
  <si>
    <t>Grupu aizsardzības automāts 3C16</t>
  </si>
  <si>
    <t>8-11</t>
  </si>
  <si>
    <t>Diferenciālā strāvas aizsardzība 1N/25/0,03</t>
  </si>
  <si>
    <t>8-12</t>
  </si>
  <si>
    <t>Diferenciālā strāvas aizsardzība 3N/25/0,03</t>
  </si>
  <si>
    <t>8-13</t>
  </si>
  <si>
    <t>Automātu savienojošā kopne 12mod  400V</t>
  </si>
  <si>
    <t>8-14</t>
  </si>
  <si>
    <t>Kontaktors uz DIN sliedes 230V 40A</t>
  </si>
  <si>
    <t>8-15</t>
  </si>
  <si>
    <t>8-16</t>
  </si>
  <si>
    <t>Apgaismojuma ķermeņu ar spuldzēm un visiem nepieciešamajiem palīgmateriāliem montāža un pieslēgšana elektrības tīkliem</t>
  </si>
  <si>
    <t>8-17</t>
  </si>
  <si>
    <t>Evakuācijas izejas gaismeklis pie sienas 8W , 3h</t>
  </si>
  <si>
    <t>8-18</t>
  </si>
  <si>
    <t>Evakuācijas izejas gaismeklis pie griestiem  8W , 3h</t>
  </si>
  <si>
    <t>8-19</t>
  </si>
  <si>
    <t>Āra gaismeklis pie sienas VEGA 60W 230V IP54</t>
  </si>
  <si>
    <t>8-20</t>
  </si>
  <si>
    <t>Avārijas gaismeklis pie griestiem QUADRO EMERGENSY  2x9W 230V IP54</t>
  </si>
  <si>
    <t>8-21</t>
  </si>
  <si>
    <t>Āra gaismeklis pie sienas OPTIMA 2x9W 230V IP44</t>
  </si>
  <si>
    <t>8-22</t>
  </si>
  <si>
    <t>Gaismeklis  pie griestiem CAMEA 2x9W 230V IP44</t>
  </si>
  <si>
    <t>8-23</t>
  </si>
  <si>
    <t>Luminiscentais gaismeklis pie griestiem 4x18W 230V IP20</t>
  </si>
  <si>
    <t>8-24</t>
  </si>
  <si>
    <t>Luminiscentais gaismeklis pie griestiem  ar polikarbonātu 2x18W 230V IP20</t>
  </si>
  <si>
    <t>8-25</t>
  </si>
  <si>
    <t>Luminiscentais gaismeklis pie griestiem ar akumulatoru 2x18W 230V IP20, 3h</t>
  </si>
  <si>
    <t>8-26</t>
  </si>
  <si>
    <t xml:space="preserve">Gaismeklis pie sienas , grozāms ar slēdzi 60W 230V IP20 </t>
  </si>
  <si>
    <t>8-27</t>
  </si>
  <si>
    <t>Gaismeklis pie sienas 100W 230V IP20</t>
  </si>
  <si>
    <t>8-28</t>
  </si>
  <si>
    <t>8-29</t>
  </si>
  <si>
    <t>Sledžu un rozešu montāža iesk.montāžas kārbu ierīkošanu un pieslēgšanu elektības tīklam</t>
  </si>
  <si>
    <t>8-30</t>
  </si>
  <si>
    <t>Krēslas slēdzis IP65 230V 2000W</t>
  </si>
  <si>
    <t>8-31</t>
  </si>
  <si>
    <t>El. rozete vienvietīgas ar rāmīti, zem/apm. IP20 230V 16A</t>
  </si>
  <si>
    <t>8-32</t>
  </si>
  <si>
    <t>El. rozete vienvietīgas ar rāmīti, zem/apm. IP44 230V 16A</t>
  </si>
  <si>
    <t>8-33</t>
  </si>
  <si>
    <t>El. rozete v/apm. IP40 400V 25A</t>
  </si>
  <si>
    <t>8-34</t>
  </si>
  <si>
    <t>El. rozetes mehānismi  230V 16A</t>
  </si>
  <si>
    <t>8-35</t>
  </si>
  <si>
    <t>El.slēdzis pārsl..z/apm. Ar rāmīti IP 20 , I nom = 10 A , U = 230 V</t>
  </si>
  <si>
    <t>8-36</t>
  </si>
  <si>
    <t>El.slēdzis pārsl..z/apm. Ar rāmīti IP 44 , I nom = 10 A , U = 230 V</t>
  </si>
  <si>
    <t>8-37</t>
  </si>
  <si>
    <t>El.slēdzis divtaustiņu z/apm. Ar rāmīti IP 20 , I nom = 10 A , U = 230 V</t>
  </si>
  <si>
    <t>8-38</t>
  </si>
  <si>
    <t>Divvietīgie rāmīši IP20</t>
  </si>
  <si>
    <t>8-39</t>
  </si>
  <si>
    <t>Četrvietīgie rāmīši IP20</t>
  </si>
  <si>
    <t>8-40</t>
  </si>
  <si>
    <t>Montāžas kārbas z/apm. četrvietīgās</t>
  </si>
  <si>
    <t>8-41</t>
  </si>
  <si>
    <t>Montāžas kārbas z/apm. divvietīgās</t>
  </si>
  <si>
    <t>8-42</t>
  </si>
  <si>
    <t>Montāžas kārbas z/apm. vienvietīgās</t>
  </si>
  <si>
    <t>8-43</t>
  </si>
  <si>
    <t>Nozarkārbas HP 70 IP44</t>
  </si>
  <si>
    <t>8-44</t>
  </si>
  <si>
    <t>8-45</t>
  </si>
  <si>
    <t>Kabeļu montāža</t>
  </si>
  <si>
    <t>8-46</t>
  </si>
  <si>
    <t>Kabelis - PPJ 3 * 1.5mm2</t>
  </si>
  <si>
    <t>8-47</t>
  </si>
  <si>
    <t>Kabelis -PPJ 3 * 2.5mm2</t>
  </si>
  <si>
    <t>8-48</t>
  </si>
  <si>
    <t>Kabelis -PPJ 5 * 2.5mm2</t>
  </si>
  <si>
    <t>8-49</t>
  </si>
  <si>
    <t>Kabelis -PPJ 5 * 4mm2</t>
  </si>
  <si>
    <t>8-50</t>
  </si>
  <si>
    <t>Kabelis -NYY-J 5 * 10mm2</t>
  </si>
  <si>
    <t>8-51</t>
  </si>
  <si>
    <t>Aizsargcaurule TXM-M20</t>
  </si>
  <si>
    <t>8-52</t>
  </si>
  <si>
    <t>8-53</t>
  </si>
  <si>
    <t>Iekārtu pieslēgšana elektroinstalācijas tīkliem</t>
  </si>
  <si>
    <t xml:space="preserve"> Zibens aizsardzība</t>
  </si>
  <si>
    <t>8-54</t>
  </si>
  <si>
    <t>Zibens aizsardzības sistēmas ierīkošana (iesk. zemes darbus)</t>
  </si>
  <si>
    <t>8-55</t>
  </si>
  <si>
    <t>Zemējuma stieņi 219/20 OMEX 20x1500mm</t>
  </si>
  <si>
    <t>8-56</t>
  </si>
  <si>
    <t>Zemējuma apaļdzelzis RD10 FT</t>
  </si>
  <si>
    <t>8-57</t>
  </si>
  <si>
    <t>Savienotāj klemme 2760/20 8-10/FL40FT</t>
  </si>
  <si>
    <t>8-58</t>
  </si>
  <si>
    <t>Stieņa spice TE 20</t>
  </si>
  <si>
    <t>8-59</t>
  </si>
  <si>
    <t>Savienotāj klemme 223/DIN RD8-10</t>
  </si>
  <si>
    <t>8-60</t>
  </si>
  <si>
    <t>Pretkorozijas lenta</t>
  </si>
  <si>
    <t>8-61</t>
  </si>
  <si>
    <t>Zibens uztvērēj stieple RD8/ALU</t>
  </si>
  <si>
    <t>m.</t>
  </si>
  <si>
    <t>8-62</t>
  </si>
  <si>
    <t>Distanceri stieples stiprināšanai pa jumta segumu 133NB/PVC-RD8N</t>
  </si>
  <si>
    <t>8-63</t>
  </si>
  <si>
    <t>Distanceri stieples stiprināšanai 132VA RD8N</t>
  </si>
  <si>
    <t>8-64</t>
  </si>
  <si>
    <t>Stieples stiprinājumi pie notekas ST31</t>
  </si>
  <si>
    <t>8-65</t>
  </si>
  <si>
    <t>Stieples stiprinājumi pie sienas 164 100m Zn Rd8-10</t>
  </si>
  <si>
    <t>8-66</t>
  </si>
  <si>
    <t>Zibens uztvērēji pie dūmeņiem ar stiprinājumiem 1500/16</t>
  </si>
  <si>
    <t>8-67</t>
  </si>
  <si>
    <t>Uztvērējstieples savienojumi 249/ALU RD8-10</t>
  </si>
  <si>
    <t>8-68</t>
  </si>
  <si>
    <t>Metāla elementu savienojumi ar stipeli d=8mm</t>
  </si>
  <si>
    <t>8-69</t>
  </si>
  <si>
    <t>BA-9/3/2010</t>
  </si>
  <si>
    <t>Iekšējais ūdensvads 2 stāvs</t>
  </si>
  <si>
    <t>9-1</t>
  </si>
  <si>
    <t>Cauruļu montāža ar fasondaļām montāža</t>
  </si>
  <si>
    <t>9-2</t>
  </si>
  <si>
    <t>Caurules PEX/AL/PEX 16mm, ieskaitot fasondaļas</t>
  </si>
  <si>
    <t>9-3</t>
  </si>
  <si>
    <t>Caurules PEX/AL/PEX 20mm, ieskaitot fasondaļas</t>
  </si>
  <si>
    <t>9-4</t>
  </si>
  <si>
    <t>Caurules PEX/AL/PEX 25mm, ieskaitot fasondaļas</t>
  </si>
  <si>
    <t>9-5</t>
  </si>
  <si>
    <t>9-6</t>
  </si>
  <si>
    <t>Lodveida ventīļu uzstādīšana</t>
  </si>
  <si>
    <t>9-7</t>
  </si>
  <si>
    <t>Lodveida ventīļa DN15 uzstādīšana</t>
  </si>
  <si>
    <t>9-8</t>
  </si>
  <si>
    <t>Lodveida ventīļa DN20 uzstādīšana</t>
  </si>
  <si>
    <t>9-9</t>
  </si>
  <si>
    <t>9-10</t>
  </si>
  <si>
    <t>Vienvirziena vārsta uzstādīšana</t>
  </si>
  <si>
    <t>9-11</t>
  </si>
  <si>
    <t>Vienvirziena vārsts DN15</t>
  </si>
  <si>
    <t>9-12</t>
  </si>
  <si>
    <t>Vienvirziena vārsts DN20</t>
  </si>
  <si>
    <t>9-13</t>
  </si>
  <si>
    <t>9-14</t>
  </si>
  <si>
    <t>Cauruļu izolācijas darbi</t>
  </si>
  <si>
    <t>9-15</t>
  </si>
  <si>
    <t xml:space="preserve">Pretkondensāt izolācijas čaulā 9mm, caurulei OD25 </t>
  </si>
  <si>
    <t>9-16</t>
  </si>
  <si>
    <t>Siltum izolācijas čaula 9mm, caurulei OD16</t>
  </si>
  <si>
    <t>9-17</t>
  </si>
  <si>
    <t>Siltum izolācijas čaula 9mm, caurulei OD25</t>
  </si>
  <si>
    <t>9-18</t>
  </si>
  <si>
    <t>Siltum izolācijas čaula 20mm, caurulei OD16</t>
  </si>
  <si>
    <t>9-19</t>
  </si>
  <si>
    <t>Siltum izolācijas čaula 20mm, caurulei OD25</t>
  </si>
  <si>
    <t>9-20</t>
  </si>
  <si>
    <t>9-21</t>
  </si>
  <si>
    <t xml:space="preserve">Sistēmas hidrauliskā pārbaude </t>
  </si>
  <si>
    <t>100m</t>
  </si>
  <si>
    <t>9-22</t>
  </si>
  <si>
    <t>Iekārto griestu atjaunošana. Uzstādāmi ekspluatējama veida iekārtie griesti.</t>
  </si>
  <si>
    <t>BA-10/3/2010</t>
  </si>
  <si>
    <t>Iekšējā kanalizācija 2 stāvs</t>
  </si>
  <si>
    <t>10-1</t>
  </si>
  <si>
    <t>Plastmasas kanalizācijas cauruļu PP OD50 uzstādīšana grīdas konstrukcijā, ieskaitot veidgabalus</t>
  </si>
  <si>
    <t>10-2</t>
  </si>
  <si>
    <t>Plastmasas kanalizācijas cauruļu PP OD50 uzstādīšana pie sienām un griestos, ieskaitot veidgabalus</t>
  </si>
  <si>
    <t>10-3</t>
  </si>
  <si>
    <t>Plastmasas kanalizācijas cauruļu PP OD50 uzstādīšana 75 cm dziļā tranšejā, ieskaitot veidgabalus</t>
  </si>
  <si>
    <t>10-4</t>
  </si>
  <si>
    <t>Plastmasas kanalizācijas cauruļu PP OD110 uzstādīšana grīdas konstrukcijā, ieskaitot veidgabalus</t>
  </si>
  <si>
    <t>10-5</t>
  </si>
  <si>
    <t>Plastmasas kanalizācijas cauruļu PP OD110 uzstādīšana pie sienām un griestos, ieskaitot veidgabalus</t>
  </si>
  <si>
    <t>10-6</t>
  </si>
  <si>
    <t>Revīzijas OD50 uzstādīšana</t>
  </si>
  <si>
    <t>10-7</t>
  </si>
  <si>
    <t>Revīzijas OD110 uzstādīšana</t>
  </si>
  <si>
    <t>10-8</t>
  </si>
  <si>
    <t>Ārpus pārseguma montējamā ugunsdrošības manžetes uzstādīšana caurulei OD50</t>
  </si>
  <si>
    <t>10-9</t>
  </si>
  <si>
    <t>Ārpus pārseguma montējamā ugunsdrošības manžetes uzstādīšana caurulei OD110</t>
  </si>
  <si>
    <t>10-10</t>
  </si>
  <si>
    <t>Pamatu šķērsošana cauruli OD50 ievietojot aizsargčaulā</t>
  </si>
  <si>
    <t>10-11</t>
  </si>
  <si>
    <t>Rūpnieciski ražota vēdināšanas  izvada virs jumta uzstādīšana caurulei OD110</t>
  </si>
  <si>
    <t>10-12</t>
  </si>
  <si>
    <t>Atveramas lūkas pret revīzijām uztādīšana</t>
  </si>
  <si>
    <t>10-13</t>
  </si>
  <si>
    <t>Roku mazgātnes uzstādīšana komplektā ar maisītāju, papildus aprīkojumu cilvēkiem ar īpašām vajadzībām noslēgarmatūru un visiem nepieciešamajiem materiāliem pieslēgšanai pie ūdensvada un kanalizācijas tīkliem</t>
  </si>
  <si>
    <t>10-14</t>
  </si>
  <si>
    <t>Trauku mazgātnes uzstādīšana komplektā ar maisītāju noslēgarmatūru un visiem nepieciešamajiem materiāliem pieslēgšanai pie ūdensvada un kanalizācijas tīkliem</t>
  </si>
  <si>
    <t>10-15</t>
  </si>
  <si>
    <t>Tauku atdalītāja uzstādīšana zem trauku mazgātnes un pieslēgšana kanalizācijas tīkliem</t>
  </si>
  <si>
    <t>10-16</t>
  </si>
  <si>
    <t xml:space="preserve">Klozetpoda ar aprīkojumu cilvēkiem ar īpašām vajadzībām uzstādīšana </t>
  </si>
  <si>
    <t>10-17</t>
  </si>
  <si>
    <t>Dušas izbūve cilvēkiem ar īpašām vajadzībām komplektā ar nepieciešamo aprīkojumu (atbilstoši prasībām)</t>
  </si>
  <si>
    <t>10-18</t>
  </si>
  <si>
    <t>Kanalizācijas trapa uzstādīšana grīdas konstrukcijā</t>
  </si>
  <si>
    <t>10-19</t>
  </si>
  <si>
    <t xml:space="preserve">Montē kanalizācijas caurules tranšejā ar veidgabaliem OD50, izbūvē betona bedri 500x500x500, pārsedz ar metāla režģi no metāla armatūras stieņiem nostiprina izlaidi zaļajā zonā </t>
  </si>
  <si>
    <t>10-20</t>
  </si>
  <si>
    <t>Grīdas flīžu seguma atjaunošana</t>
  </si>
  <si>
    <t>10-21</t>
  </si>
  <si>
    <t>Ģipškartona šahtas izbūve ar flīžu apdari</t>
  </si>
  <si>
    <t>10-22</t>
  </si>
  <si>
    <t>Ģipškartona šahtas izbūve, krāsota</t>
  </si>
  <si>
    <t>BA-11/3/2010</t>
  </si>
  <si>
    <t>Ugunsgrēka atklāšanas un trauksmes iekārtas 2.stāvs</t>
  </si>
  <si>
    <t>11-1</t>
  </si>
  <si>
    <t>Signalizācijas panelis BENTEL         J-408-8</t>
  </si>
  <si>
    <t>11-2</t>
  </si>
  <si>
    <t>Akumulators 12 A/h 12 V</t>
  </si>
  <si>
    <t>11-3</t>
  </si>
  <si>
    <t>Transformators 220/12V</t>
  </si>
  <si>
    <t>11-4</t>
  </si>
  <si>
    <t>Siltuma detektors NB-323-2</t>
  </si>
  <si>
    <t>11-5</t>
  </si>
  <si>
    <t>Kombinētais detektors EA - 318 - 2H</t>
  </si>
  <si>
    <t>11-6</t>
  </si>
  <si>
    <t>Dūmu detektors EA - 318 - 2</t>
  </si>
  <si>
    <t>11-7</t>
  </si>
  <si>
    <t>Rokas trauksmes poga FP/2RD</t>
  </si>
  <si>
    <t>11-8</t>
  </si>
  <si>
    <t>Skaņas signāls(iekšējais) LD-FS 100</t>
  </si>
  <si>
    <t>11-9</t>
  </si>
  <si>
    <t>Skaņas signāls(ārējais) LD-210</t>
  </si>
  <si>
    <t>11-10</t>
  </si>
  <si>
    <t>Nozarkarbas JB-701WH CQR</t>
  </si>
  <si>
    <t>11-11</t>
  </si>
  <si>
    <t>Zonas noslēdzošais elements R3K9</t>
  </si>
  <si>
    <t>11-12</t>
  </si>
  <si>
    <t>Signalizācijas kabelis (EI 30 min) EUROSAFE 4x0,5</t>
  </si>
  <si>
    <t>11-13</t>
  </si>
  <si>
    <t>Trauksmes signalizācijas kabelis CQR UK 4x0.5</t>
  </si>
  <si>
    <t>11-14</t>
  </si>
  <si>
    <t>Kabelis  (el. sadale - panelis) EUROSAFE 3x1.5</t>
  </si>
  <si>
    <t>11-15</t>
  </si>
  <si>
    <t>Ievada elektro automāts ABB 1B10</t>
  </si>
  <si>
    <t>11-16</t>
  </si>
  <si>
    <t>PVH caurule FFKu-EL-F-HO-16</t>
  </si>
  <si>
    <t>11-17</t>
  </si>
  <si>
    <t>Iznesamā gaismas diode</t>
  </si>
  <si>
    <t>11-18</t>
  </si>
  <si>
    <t>BA-12/3/2010</t>
  </si>
  <si>
    <t>Vēdināšana 2.Stāvs</t>
  </si>
  <si>
    <t>Vēdināšanas sistēmas izbūve II stāvā līdz gaisa apstrādes iekārtai un pirmā stāva pārsegumam</t>
  </si>
  <si>
    <t>Pieplūdes-nosūces gaisa apstrādes sistēma PN 1</t>
  </si>
  <si>
    <t>12-1</t>
  </si>
  <si>
    <t>Difuzora uztādīšana</t>
  </si>
  <si>
    <t>12-2</t>
  </si>
  <si>
    <t>Gaisa pieplūdes difuzors Elegants-VS-160</t>
  </si>
  <si>
    <t>12-3</t>
  </si>
  <si>
    <t>Gaisa pieplūdes difuzors Balance-S-160</t>
  </si>
  <si>
    <t>12-4</t>
  </si>
  <si>
    <t>Gaisa nosūces difuzors EFF-100</t>
  </si>
  <si>
    <t>12-5</t>
  </si>
  <si>
    <t>Gaisa nosūces difuzors EFF-125</t>
  </si>
  <si>
    <t>12-6</t>
  </si>
  <si>
    <t>Gaisa nosūces difuzors EFF-160</t>
  </si>
  <si>
    <t>12-7</t>
  </si>
  <si>
    <t>Āra restes uzstādīšana</t>
  </si>
  <si>
    <t>12-8</t>
  </si>
  <si>
    <t>Ārējā reste IGC-315</t>
  </si>
  <si>
    <t>12-9</t>
  </si>
  <si>
    <t>Cinkotu gaisa vadu Ø100mm montāža</t>
  </si>
  <si>
    <t>12-10</t>
  </si>
  <si>
    <t xml:space="preserve">Gaisa vads Ø100, tērauda, cinkots </t>
  </si>
  <si>
    <t>12-11</t>
  </si>
  <si>
    <r>
      <t>Līkums Ø100 90</t>
    </r>
    <r>
      <rPr>
        <i/>
        <vertAlign val="superscript"/>
        <sz val="10"/>
        <rFont val="Arial"/>
        <family val="2"/>
      </rPr>
      <t>0</t>
    </r>
    <r>
      <rPr>
        <i/>
        <sz val="10"/>
        <rFont val="Arial"/>
        <family val="2"/>
      </rPr>
      <t>,</t>
    </r>
    <r>
      <rPr>
        <i/>
        <vertAlign val="superscript"/>
        <sz val="10"/>
        <rFont val="Arial"/>
        <family val="2"/>
      </rPr>
      <t xml:space="preserve"> </t>
    </r>
    <r>
      <rPr>
        <i/>
        <sz val="10"/>
        <rFont val="Arial"/>
        <family val="2"/>
      </rPr>
      <t>tērauda cinkots</t>
    </r>
  </si>
  <si>
    <t>12-12</t>
  </si>
  <si>
    <t>Stiprinājums D100</t>
  </si>
  <si>
    <t>12-13</t>
  </si>
  <si>
    <t>Cinkotu gaisa vadu Ø125mm montāža</t>
  </si>
  <si>
    <t>12-14</t>
  </si>
  <si>
    <t>Gaisa vads Ø125, tērauda, cinkots</t>
  </si>
  <si>
    <t>12-15</t>
  </si>
  <si>
    <r>
      <t>Līkums Ø125 90</t>
    </r>
    <r>
      <rPr>
        <i/>
        <vertAlign val="superscript"/>
        <sz val="10"/>
        <rFont val="Arial"/>
        <family val="2"/>
      </rPr>
      <t>0</t>
    </r>
    <r>
      <rPr>
        <i/>
        <sz val="10"/>
        <rFont val="Arial"/>
        <family val="2"/>
      </rPr>
      <t>,</t>
    </r>
    <r>
      <rPr>
        <i/>
        <vertAlign val="superscript"/>
        <sz val="10"/>
        <rFont val="Arial"/>
        <family val="2"/>
      </rPr>
      <t xml:space="preserve"> </t>
    </r>
    <r>
      <rPr>
        <i/>
        <sz val="10"/>
        <rFont val="Arial"/>
        <family val="2"/>
      </rPr>
      <t>tērauda cinkots</t>
    </r>
  </si>
  <si>
    <t>12-16</t>
  </si>
  <si>
    <t>Pāreja 125/100, tērauda, cinkota</t>
  </si>
  <si>
    <t>12-17</t>
  </si>
  <si>
    <t>Trejgabals 125/100, tērauda, cinkots</t>
  </si>
  <si>
    <t>12-18</t>
  </si>
  <si>
    <t>Stiprinājums D125</t>
  </si>
  <si>
    <t>12-19</t>
  </si>
  <si>
    <t>Cinkotu gaisa vadu Ø160mm montāža</t>
  </si>
  <si>
    <t>12-20</t>
  </si>
  <si>
    <t>Gaisa vads Ø160, tērauda, cinkots</t>
  </si>
  <si>
    <t>12-21</t>
  </si>
  <si>
    <t>Pāreja 160/125, tērauda, cinkota</t>
  </si>
  <si>
    <t>12-22</t>
  </si>
  <si>
    <t>Trejgabals 160/100, tērauda, cinkots</t>
  </si>
  <si>
    <t>12-23</t>
  </si>
  <si>
    <t>Stiprinājums D160</t>
  </si>
  <si>
    <t>12-24</t>
  </si>
  <si>
    <t>Cinkotu gaisa vadu Ø200mm montāža</t>
  </si>
  <si>
    <t>12-25</t>
  </si>
  <si>
    <t>Gaisa vads Ø200, tērauda, cinkots</t>
  </si>
  <si>
    <t>12-26</t>
  </si>
  <si>
    <r>
      <t>Līkums Ø200 90</t>
    </r>
    <r>
      <rPr>
        <i/>
        <vertAlign val="superscript"/>
        <sz val="10"/>
        <rFont val="Arial"/>
        <family val="2"/>
      </rPr>
      <t>0</t>
    </r>
    <r>
      <rPr>
        <i/>
        <sz val="10"/>
        <rFont val="Arial"/>
        <family val="2"/>
      </rPr>
      <t>,</t>
    </r>
    <r>
      <rPr>
        <i/>
        <vertAlign val="superscript"/>
        <sz val="10"/>
        <rFont val="Arial"/>
        <family val="2"/>
      </rPr>
      <t xml:space="preserve"> </t>
    </r>
    <r>
      <rPr>
        <i/>
        <sz val="10"/>
        <rFont val="Arial"/>
        <family val="2"/>
      </rPr>
      <t>tērauda cinkots</t>
    </r>
  </si>
  <si>
    <t>12-27</t>
  </si>
  <si>
    <t>Pāreja 200/160, tērauda, cinkota</t>
  </si>
  <si>
    <t>12-28</t>
  </si>
  <si>
    <t>Sānu pievienojums 200/100</t>
  </si>
  <si>
    <t>12-29</t>
  </si>
  <si>
    <t>Trejgabals 200/160, tērauda, cinkots</t>
  </si>
  <si>
    <t>12-30</t>
  </si>
  <si>
    <t>Stiprinājums D200</t>
  </si>
  <si>
    <t>12-31</t>
  </si>
  <si>
    <t>Cinkotu gaisa vadu Ø250mm montāža</t>
  </si>
  <si>
    <t>12-32</t>
  </si>
  <si>
    <t>Gaisa vads Ø250, tērauda, cinkots</t>
  </si>
  <si>
    <t>12-33</t>
  </si>
  <si>
    <r>
      <t>Līkums Ø250 90</t>
    </r>
    <r>
      <rPr>
        <i/>
        <vertAlign val="superscript"/>
        <sz val="10"/>
        <rFont val="Arial"/>
        <family val="2"/>
      </rPr>
      <t>0</t>
    </r>
    <r>
      <rPr>
        <i/>
        <sz val="10"/>
        <rFont val="Arial"/>
        <family val="2"/>
      </rPr>
      <t>,</t>
    </r>
    <r>
      <rPr>
        <i/>
        <vertAlign val="superscript"/>
        <sz val="10"/>
        <rFont val="Arial"/>
        <family val="2"/>
      </rPr>
      <t xml:space="preserve"> </t>
    </r>
    <r>
      <rPr>
        <i/>
        <sz val="10"/>
        <rFont val="Arial"/>
        <family val="2"/>
      </rPr>
      <t>tērauda cinkots</t>
    </r>
  </si>
  <si>
    <t>12-34</t>
  </si>
  <si>
    <t>Pāreja 250/200, tērauda, cinkota</t>
  </si>
  <si>
    <t>12-35</t>
  </si>
  <si>
    <t>Stiprinājums D250</t>
  </si>
  <si>
    <t>12-36</t>
  </si>
  <si>
    <t>Cinkotu gaisa vadu Ø315mm montāža</t>
  </si>
  <si>
    <t>12-37</t>
  </si>
  <si>
    <t>Gaisa vads Ø315, tērauda, cinkots</t>
  </si>
  <si>
    <t>12-38</t>
  </si>
  <si>
    <r>
      <t>Līkums Ø315 90</t>
    </r>
    <r>
      <rPr>
        <i/>
        <vertAlign val="superscript"/>
        <sz val="10"/>
        <rFont val="Arial"/>
        <family val="2"/>
      </rPr>
      <t>0</t>
    </r>
    <r>
      <rPr>
        <i/>
        <sz val="10"/>
        <rFont val="Arial"/>
        <family val="2"/>
      </rPr>
      <t>,</t>
    </r>
    <r>
      <rPr>
        <i/>
        <vertAlign val="superscript"/>
        <sz val="10"/>
        <rFont val="Arial"/>
        <family val="2"/>
      </rPr>
      <t xml:space="preserve"> </t>
    </r>
    <r>
      <rPr>
        <i/>
        <sz val="10"/>
        <rFont val="Arial"/>
        <family val="2"/>
      </rPr>
      <t>tērauda cinkots</t>
    </r>
  </si>
  <si>
    <t>12-39</t>
  </si>
  <si>
    <t>Pāreja 315/200, tērauda, cinkota</t>
  </si>
  <si>
    <t>12-40</t>
  </si>
  <si>
    <t>Pāreja 315/250, tērauda, cinkota</t>
  </si>
  <si>
    <t>12-41</t>
  </si>
  <si>
    <t>Trejgabals 315/315, tērauda, cinkots</t>
  </si>
  <si>
    <t>12-42</t>
  </si>
  <si>
    <t>Stiprinājums D315</t>
  </si>
  <si>
    <t>12-43</t>
  </si>
  <si>
    <t>Lokano gaisa vadu Ø315mm montāža</t>
  </si>
  <si>
    <t>12-44</t>
  </si>
  <si>
    <t>Lokanais gaisa vads Ø315, tērauda, cinkots SEMIVAC 315</t>
  </si>
  <si>
    <t>12-45</t>
  </si>
  <si>
    <t>Vārstu uzstādīšana</t>
  </si>
  <si>
    <t>12-46</t>
  </si>
  <si>
    <t>Droseļvārsts SPI-100</t>
  </si>
  <si>
    <t>12-47</t>
  </si>
  <si>
    <t>Droseļvārsts  SPI-125</t>
  </si>
  <si>
    <t>12-48</t>
  </si>
  <si>
    <t>Droseļvārsts  SPI-160</t>
  </si>
  <si>
    <t>12-49</t>
  </si>
  <si>
    <t>Droseļvārsts  SPI-250</t>
  </si>
  <si>
    <t>12-50</t>
  </si>
  <si>
    <t>Ugunsdrošības vārsts  FDE-200; SSA</t>
  </si>
  <si>
    <t>12-51</t>
  </si>
  <si>
    <t>Ugunsdrošības vārsts  FDE-250; SSA</t>
  </si>
  <si>
    <t>12-52</t>
  </si>
  <si>
    <t>Ugunsdrošības vārsts  FDE-315; SSA</t>
  </si>
  <si>
    <t>12-53</t>
  </si>
  <si>
    <t>Izolācijas darbi</t>
  </si>
  <si>
    <r>
      <t>m</t>
    </r>
    <r>
      <rPr>
        <b/>
        <vertAlign val="superscript"/>
        <sz val="10"/>
        <color indexed="8"/>
        <rFont val="Arial"/>
        <family val="2"/>
      </rPr>
      <t>2</t>
    </r>
  </si>
  <si>
    <t>12-54</t>
  </si>
  <si>
    <t>Pretsvīšanas izolācija akmens vates lamellas pārklājs Paroc LAM 50ALC b=50mm vai analogs</t>
  </si>
  <si>
    <t>12-55</t>
  </si>
  <si>
    <t>Montāžas palīgmateriāli uz visu sistēmu</t>
  </si>
  <si>
    <t>Gaisa nosūces sistēma N 4</t>
  </si>
  <si>
    <t>12-56</t>
  </si>
  <si>
    <t>Tvaika nosūcēja uzstādīšana</t>
  </si>
  <si>
    <t>12-57</t>
  </si>
  <si>
    <t>Tvaika nosūcējs   L=480m3/st, 1 motors, 3 ātrumi, alumīnijas filtrs, 2 halogēnas 40 W spuldzes Ardo VA-61X vai analogs</t>
  </si>
  <si>
    <t>12-58</t>
  </si>
  <si>
    <t>12-59</t>
  </si>
  <si>
    <t>12-60</t>
  </si>
  <si>
    <t>12-61</t>
  </si>
  <si>
    <t>12-62</t>
  </si>
  <si>
    <t>12-63</t>
  </si>
  <si>
    <t>12-64</t>
  </si>
  <si>
    <t>Pāreja 250/125, tērauda, cinkota</t>
  </si>
  <si>
    <t>12-65</t>
  </si>
  <si>
    <t>Trejgabals 250/125, tērauda, cinkots</t>
  </si>
  <si>
    <t>12-66</t>
  </si>
  <si>
    <t>12-67</t>
  </si>
  <si>
    <t>12-68</t>
  </si>
  <si>
    <t>Pretvārsts RSK 125</t>
  </si>
  <si>
    <t>12-69</t>
  </si>
  <si>
    <t>Ugunsdrošības vārsts  FDE-125; SSA</t>
  </si>
  <si>
    <t>12-70</t>
  </si>
  <si>
    <t>Jumtiņa uzstādīšana virs gaisa vada</t>
  </si>
  <si>
    <t>12-71</t>
  </si>
  <si>
    <r>
      <t xml:space="preserve">Jumtiņš virs gaisa vada </t>
    </r>
    <r>
      <rPr>
        <i/>
        <sz val="10"/>
        <rFont val="Calibri"/>
        <family val="2"/>
      </rPr>
      <t>Ø</t>
    </r>
    <r>
      <rPr>
        <i/>
        <sz val="10"/>
        <rFont val="Arial"/>
        <family val="2"/>
      </rPr>
      <t>125 HTH (M) 250</t>
    </r>
  </si>
  <si>
    <t>12-72</t>
  </si>
  <si>
    <t>12-73</t>
  </si>
  <si>
    <t>12-74</t>
  </si>
  <si>
    <t>Gaisa nosūces sistēma N 5</t>
  </si>
  <si>
    <t>12-75</t>
  </si>
  <si>
    <t>Ventilatora uzstādīšana</t>
  </si>
  <si>
    <t>12-76</t>
  </si>
  <si>
    <r>
      <t>Kanāla ventilators  L=100m3/st, 80Pa, n=2550min</t>
    </r>
    <r>
      <rPr>
        <i/>
        <vertAlign val="superscript"/>
        <sz val="10"/>
        <color indexed="8"/>
        <rFont val="Arial"/>
        <family val="2"/>
      </rPr>
      <t>-1</t>
    </r>
    <r>
      <rPr>
        <i/>
        <sz val="10"/>
        <color indexed="8"/>
        <rFont val="Arial"/>
        <family val="2"/>
      </rPr>
      <t xml:space="preserve"> 1~230V, 0,016kW          K 100 M</t>
    </r>
  </si>
  <si>
    <t>12-77</t>
  </si>
  <si>
    <t>12-78</t>
  </si>
  <si>
    <t>Gaisa vads Ø100, tērauda, cinkots</t>
  </si>
  <si>
    <t>12-79</t>
  </si>
  <si>
    <t>12-80</t>
  </si>
  <si>
    <t>Trejgabals 100/100, tērauda, cinkots</t>
  </si>
  <si>
    <t>12-81</t>
  </si>
  <si>
    <t>12-82</t>
  </si>
  <si>
    <t>Pretvārsts RSK 100</t>
  </si>
  <si>
    <t>12-83</t>
  </si>
  <si>
    <t>12-84</t>
  </si>
  <si>
    <t>Ugunsdrošības vārsts FDE-125; SSA</t>
  </si>
  <si>
    <t>12-85</t>
  </si>
  <si>
    <t>Trokšņu slāpētāja uzstādīšana</t>
  </si>
  <si>
    <t>12-86</t>
  </si>
  <si>
    <t>Trokšņu slāpētājs  LDC 100-600</t>
  </si>
  <si>
    <t>12-87</t>
  </si>
  <si>
    <t>12-88</t>
  </si>
  <si>
    <t>12-89</t>
  </si>
  <si>
    <t>Dabīgā gaisa pieplūdes sistēma DP 1</t>
  </si>
  <si>
    <t>12-90</t>
  </si>
  <si>
    <t>Gaisa padeves iekārtas uzstādīšana sienas konstrukcijā</t>
  </si>
  <si>
    <t>12-91</t>
  </si>
  <si>
    <t>Pārplūdes ierīce OVE 125</t>
  </si>
  <si>
    <t>12-92</t>
  </si>
  <si>
    <t>Sistēmas PN1 ūdens sildītāja siltumtumapgāde</t>
  </si>
  <si>
    <t>12-93</t>
  </si>
  <si>
    <t>Ūdens sajaukšanas mezgla izbūve</t>
  </si>
  <si>
    <t>12-94</t>
  </si>
  <si>
    <t>Trīsvirzienu vārsts, DN15</t>
  </si>
  <si>
    <t>12-95</t>
  </si>
  <si>
    <t>Regulētājvārsts DN15</t>
  </si>
  <si>
    <t>12-96</t>
  </si>
  <si>
    <r>
      <t>Cirkulācijas sūknis, G=0,49 m</t>
    </r>
    <r>
      <rPr>
        <i/>
        <vertAlign val="superscript"/>
        <sz val="10"/>
        <color indexed="8"/>
        <rFont val="Arial"/>
        <family val="2"/>
      </rPr>
      <t>3</t>
    </r>
    <r>
      <rPr>
        <i/>
        <sz val="10"/>
        <color indexed="8"/>
        <rFont val="Arial"/>
        <family val="2"/>
      </rPr>
      <t>/h, 25kPa MAGNA 25-60</t>
    </r>
  </si>
  <si>
    <t>12-97</t>
  </si>
  <si>
    <t>Lodveida vārsts, DN15</t>
  </si>
  <si>
    <t>12-98</t>
  </si>
  <si>
    <t>Pretvārsts DN15</t>
  </si>
  <si>
    <t>12-99</t>
  </si>
  <si>
    <t>Automātiskais atgaisotājs</t>
  </si>
  <si>
    <t>12-100</t>
  </si>
  <si>
    <t>Manometrs</t>
  </si>
  <si>
    <t>12-101</t>
  </si>
  <si>
    <t>Termometrs</t>
  </si>
  <si>
    <t>12-102</t>
  </si>
  <si>
    <t>Cietā vara cauruļu montāža</t>
  </si>
  <si>
    <t>12-103</t>
  </si>
  <si>
    <t>Cietās vara caurules Ø18x1</t>
  </si>
  <si>
    <t>12-104</t>
  </si>
  <si>
    <t>12-105</t>
  </si>
  <si>
    <t>Akmens vates cauruļvadu siltumizolācijas čaulas Paroc PSALC DN15x40mm vai analogs</t>
  </si>
  <si>
    <t>12-106</t>
  </si>
  <si>
    <t>Montāžas palīgmateriāli  un veidgabali</t>
  </si>
  <si>
    <t>Dažādi darbi</t>
  </si>
  <si>
    <t>12-107</t>
  </si>
  <si>
    <t>Caurumu kalšana sienā diam.125</t>
  </si>
  <si>
    <t>12-108</t>
  </si>
  <si>
    <t>Tas pats diam.315</t>
  </si>
  <si>
    <t>12-109</t>
  </si>
  <si>
    <t>Caurumu izveidošana pārsegumā diam.315</t>
  </si>
  <si>
    <t>12-110</t>
  </si>
  <si>
    <t>Caurumu izveidošana dumkanālos</t>
  </si>
  <si>
    <t>12-111</t>
  </si>
  <si>
    <t xml:space="preserve">Esošo dūmkanālu tīrīšana </t>
  </si>
  <si>
    <t>12-112</t>
  </si>
  <si>
    <t>Vēdināšanas cauruļu stiprināšana dūmkanālos ( astoņas caurules ar Ø100mm)</t>
  </si>
  <si>
    <t>12-113</t>
  </si>
  <si>
    <t xml:space="preserve">Četru dūmkanalu nojaukšana līdz atz. 5,70 </t>
  </si>
  <si>
    <t>12-114</t>
  </si>
  <si>
    <t>Caurumu aiztaisīšana pēc montāžas darbiem</t>
  </si>
  <si>
    <t>BA-13/3/2010</t>
  </si>
  <si>
    <t>Apkure 2.stāvs</t>
  </si>
  <si>
    <t>Apkure  1stāvs cauruļu montāža , 2 stāvs visa sistēma</t>
  </si>
  <si>
    <t>13-1</t>
  </si>
  <si>
    <t>Cietā vara cauruļu uzstādīšana</t>
  </si>
  <si>
    <t>13-2</t>
  </si>
  <si>
    <t>13-3</t>
  </si>
  <si>
    <t>Cietās vara caurules Ø22x1</t>
  </si>
  <si>
    <t>13-4</t>
  </si>
  <si>
    <t>Cietās vara caurules Ø28x1,5</t>
  </si>
  <si>
    <t>13-5</t>
  </si>
  <si>
    <t>13-6</t>
  </si>
  <si>
    <t>Cauruļvadu siltumizolācija ''Armacel'' DN25x13mm</t>
  </si>
  <si>
    <t>13-7</t>
  </si>
  <si>
    <t>Apkures radiatoru uzstādīšana komplektā ar stiprinājumiem, pieslēguma mezgliem un termoregulatoru</t>
  </si>
  <si>
    <t>13-8</t>
  </si>
  <si>
    <t>Tērauda radiators PURMO Compact ar cauruļvadu sānu pievienojumu, komplektā ar atgaisotāju, korķi un stiprinājuma kronšteiniem 390W, C 22-500-500 vai analogs</t>
  </si>
  <si>
    <t>13-9</t>
  </si>
  <si>
    <t>Tas pats, 546W, C 22-500-700</t>
  </si>
  <si>
    <t>13-10</t>
  </si>
  <si>
    <t>Tas pats, 703W, C 22-500-900</t>
  </si>
  <si>
    <t>13-11</t>
  </si>
  <si>
    <t>Tas pats, 860W, C 33-500-800</t>
  </si>
  <si>
    <t>13-12</t>
  </si>
  <si>
    <t>Tas pats, 859W, C 22-500-1100</t>
  </si>
  <si>
    <t>13-13</t>
  </si>
  <si>
    <t>Tas pats, 937W, C 22-500-1200</t>
  </si>
  <si>
    <t>13-14</t>
  </si>
  <si>
    <t>Tas pats, 1093W, C 22-500-1400</t>
  </si>
  <si>
    <t>13-15</t>
  </si>
  <si>
    <t>Tas pats, 1249W, C 22-500-1600</t>
  </si>
  <si>
    <t>13-16</t>
  </si>
  <si>
    <t>Tas pats, 1405W, C 22-500-1800</t>
  </si>
  <si>
    <t>13-17</t>
  </si>
  <si>
    <t>Tas pats, 1291W, C 33-500-1200</t>
  </si>
  <si>
    <t>13-18</t>
  </si>
  <si>
    <t>Tas pats, 1721W, C 33-500-1600</t>
  </si>
  <si>
    <t>13-19</t>
  </si>
  <si>
    <t>Atgaitas pieslēguma mezgls RLV15</t>
  </si>
  <si>
    <t>13-20</t>
  </si>
  <si>
    <t>Radiatora termoregulators  DANFOSS RTD 3120</t>
  </si>
  <si>
    <t>13-21</t>
  </si>
  <si>
    <t>Piezīmes: Būvdarbu apjomos BA13/3/2010 iekļauts I stāva apkures cauruļu montāža, piebūves apkures sistēmas izbūve un II stāva apkures sistēma</t>
  </si>
  <si>
    <t>BA-14/3/2010</t>
  </si>
  <si>
    <t>Siltummezgls I kārta</t>
  </si>
  <si>
    <t>Siltummezgls bez saules kolektora</t>
  </si>
  <si>
    <t>14-1</t>
  </si>
  <si>
    <t>Siltumezgla izbūve, ieregulēšana, pārbaude, palaišana (sk. materialu specifikāciju)</t>
  </si>
  <si>
    <t>14-2</t>
  </si>
  <si>
    <t>Tērauda metināmo cauruļu montāža</t>
  </si>
  <si>
    <t>14-3</t>
  </si>
  <si>
    <t>Tērauda metināmās caurules Ø60,3X2,9</t>
  </si>
  <si>
    <t>14-4</t>
  </si>
  <si>
    <t>Tērauda metināmās caurules Ø48,3X2,6</t>
  </si>
  <si>
    <t>14-5</t>
  </si>
  <si>
    <t>Tērauda metināmās caurules Ø33,7x2,6</t>
  </si>
  <si>
    <t>14-6</t>
  </si>
  <si>
    <t>Tērauda metināmās caurules Ø26,9x2,3</t>
  </si>
  <si>
    <t>14-7</t>
  </si>
  <si>
    <t>Tērauda metināmās caurules Ø21,3x2,8</t>
  </si>
  <si>
    <t>14-8</t>
  </si>
  <si>
    <t>PE cauruļu montāža</t>
  </si>
  <si>
    <t>14-9</t>
  </si>
  <si>
    <t>Caurule PE OD32</t>
  </si>
  <si>
    <t>14-10</t>
  </si>
  <si>
    <t>14-11</t>
  </si>
  <si>
    <t>PAROC akmens vates cauruļvadu siltumizolācija čaula DN50x40</t>
  </si>
  <si>
    <t>14-12</t>
  </si>
  <si>
    <t>PAROC akmens vates cauruļvadu siltumizolācija čaula DN40x40</t>
  </si>
  <si>
    <t>14-13</t>
  </si>
  <si>
    <t>PAROC akmens vates cauruļvadu siltumizolācija čaula DN25x30</t>
  </si>
  <si>
    <t>14-14</t>
  </si>
  <si>
    <t>PAROC akmens vates cauruļvadu siltumizolācija čaula DN20x30</t>
  </si>
  <si>
    <t>14-15</t>
  </si>
  <si>
    <t>PAROC akmens vates cauruļvadu siltumizolācija čaula DN15x30</t>
  </si>
  <si>
    <t>14-16</t>
  </si>
  <si>
    <t>Pretkondensāt izolācija čaulā 9mm DN20</t>
  </si>
  <si>
    <t>14-17</t>
  </si>
  <si>
    <t>Dūmgāžu novadīšanas sistēma</t>
  </si>
  <si>
    <t>14-18</t>
  </si>
  <si>
    <t xml:space="preserve">Mūrē moduļbloku dūmvadu atbilstoši ražotāja instrukcijām, veic nostiprināšanas, izolācijas darbus starp pārsegumie un jumta konstrukciju. Uzstāda dūmvada jumtiņu un veic nepieciešamos apdares darbus </t>
  </si>
  <si>
    <t>14-19</t>
  </si>
  <si>
    <t>Dūmgāžu novadīšanas sistēma Schiedel Rondo Plus standarta ar ventilāciju (Komplektā ar dūmvada blokiem, tīrīšanas trejgabalu, pieslēguma trejgabalu, vēdināšanas režģi, uzstādīšanas kompleksu )</t>
  </si>
  <si>
    <t>14-20</t>
  </si>
  <si>
    <t>Akmens vates paklāji ar metāla sietu Paroc Wired Mat 100</t>
  </si>
  <si>
    <t>14-21</t>
  </si>
  <si>
    <t>Dūmvada jumtiņš SIH 12-20/L</t>
  </si>
  <si>
    <t>14-22</t>
  </si>
  <si>
    <t>Apmetums 10mm</t>
  </si>
  <si>
    <t>14-23</t>
  </si>
  <si>
    <t>Ø 10mm stiegrojums</t>
  </si>
  <si>
    <t>14-24</t>
  </si>
  <si>
    <t xml:space="preserve">Noslēguma plāksne </t>
  </si>
  <si>
    <t>14-25</t>
  </si>
  <si>
    <t>Rondo Plus konuss</t>
  </si>
  <si>
    <t>14-26</t>
  </si>
  <si>
    <t>Skārds</t>
  </si>
  <si>
    <t>14-27</t>
  </si>
  <si>
    <t>BA-15/3/2010</t>
  </si>
  <si>
    <t>Iekārtas</t>
  </si>
  <si>
    <t>15-1</t>
  </si>
  <si>
    <t>Pacēlāja cilvēkiem ar īpašām vajadzībām uzstādīšana, pieslēgšana elektrības tīkliem</t>
  </si>
  <si>
    <t>BA-16/3/2010</t>
  </si>
  <si>
    <t>Teritorijas sadaļa</t>
  </si>
  <si>
    <t>16-1</t>
  </si>
  <si>
    <t>Ietves asfalta seguma konstrukcijas nojaukšana un aizvešana uz atbērtni , h=20cm</t>
  </si>
  <si>
    <t>16-2</t>
  </si>
  <si>
    <t>Sētas, vārtiņu un sētas balstu demontāža, iesk. transportēšanu uz atbērtni</t>
  </si>
  <si>
    <t>16-3</t>
  </si>
  <si>
    <t>Pagraba demontāža, iesk. būvgružu aizvešanu</t>
  </si>
  <si>
    <t>16-4</t>
  </si>
  <si>
    <t>Veļas žāvētavas demontāža, iesk. būvgružu aizvešanu</t>
  </si>
  <si>
    <t>16-5</t>
  </si>
  <si>
    <t>Saimniecības ēkas demontāža, iesk. būvgružu aizvešanu uz atbērtni</t>
  </si>
  <si>
    <t>16-6</t>
  </si>
  <si>
    <t>Ietvju un laukumu uzmērīšana un nospraušana</t>
  </si>
  <si>
    <r>
      <t>100m</t>
    </r>
    <r>
      <rPr>
        <b/>
        <vertAlign val="superscript"/>
        <sz val="10"/>
        <rFont val="Arial"/>
        <family val="2"/>
      </rPr>
      <t>2</t>
    </r>
  </si>
  <si>
    <t>16-7</t>
  </si>
  <si>
    <t>Augu zemes noņemšana, h=15cm</t>
  </si>
  <si>
    <t>16-8</t>
  </si>
  <si>
    <t>Grunts izstrāde segumu izbūvei</t>
  </si>
  <si>
    <t>16-9</t>
  </si>
  <si>
    <t>Teritorijas planēšana un reljefa izlīdzināšana</t>
  </si>
  <si>
    <t>Betona lietus apmales  izbūve</t>
  </si>
  <si>
    <t>16-10</t>
  </si>
  <si>
    <t>Grants kārtas izbūve, blietējot</t>
  </si>
  <si>
    <t>16-11</t>
  </si>
  <si>
    <t>Grants maisījums 0/32</t>
  </si>
  <si>
    <t>16-12</t>
  </si>
  <si>
    <t>Betona apmales izbūve</t>
  </si>
  <si>
    <t>16-13</t>
  </si>
  <si>
    <t>16-14</t>
  </si>
  <si>
    <t>Betona lietus apmales izbūve ārpus zemes gabala robežas</t>
  </si>
  <si>
    <t>Betona bruģakmens seguma izbūve, iesk. kāpnes</t>
  </si>
  <si>
    <t>16-15</t>
  </si>
  <si>
    <t>Ietvju apmaļu uzstādīšana un nostiprināšana betonā (B15)</t>
  </si>
  <si>
    <t>16-16</t>
  </si>
  <si>
    <t>Ietves apmale (100*20*8)</t>
  </si>
  <si>
    <t>16-17</t>
  </si>
  <si>
    <t>16-18</t>
  </si>
  <si>
    <t>Kāpņu daļas betonēšana, h=10cm</t>
  </si>
  <si>
    <t>16-19</t>
  </si>
  <si>
    <t>16-20</t>
  </si>
  <si>
    <t xml:space="preserve">Salturīgā slāņa izbūve 25cm biezumā no drenējošas smilts (kfiltr.&gt;1m/24h) </t>
  </si>
  <si>
    <t>16-21</t>
  </si>
  <si>
    <t>Smilts</t>
  </si>
  <si>
    <t>16-22</t>
  </si>
  <si>
    <t xml:space="preserve">Dolomīta šķembu maisījuma (fr.0-40mm, h=12cm) pamata izbūve </t>
  </si>
  <si>
    <t>16-23</t>
  </si>
  <si>
    <t>Dolomīta šķembas</t>
  </si>
  <si>
    <t>16-24</t>
  </si>
  <si>
    <t xml:space="preserve">Smilts slāņa izbūve  3cm biezumā no  drenējošas smilts (kfiltr.&gt;1m/24h) </t>
  </si>
  <si>
    <t>16-25</t>
  </si>
  <si>
    <t>16-26</t>
  </si>
  <si>
    <t>Betona bruģakmens seguma izbūve (h=8cm) - pelēks (prizma)</t>
  </si>
  <si>
    <t>16-27</t>
  </si>
  <si>
    <t>Betona bruģakmens</t>
  </si>
  <si>
    <t>Grants seguma izbūve</t>
  </si>
  <si>
    <t>16-28</t>
  </si>
  <si>
    <t>Salturīgas smilts slāņa izbūve 25cm biezumā no drenējošas smilts (kfiltr.&gt;1m/24h),blīvējot</t>
  </si>
  <si>
    <t>16-29</t>
  </si>
  <si>
    <t>16-30</t>
  </si>
  <si>
    <t>Grants kārtas izbūve 18 cm biezumā, blīvējot</t>
  </si>
  <si>
    <t>16-31</t>
  </si>
  <si>
    <t>Zāliena seguma atjaunošana</t>
  </si>
  <si>
    <t>16-32</t>
  </si>
  <si>
    <t>Augu zemes iestrāde, h=0,15, izmantojot zemi no atbērtnes</t>
  </si>
  <si>
    <t>16-33</t>
  </si>
  <si>
    <t>Zālāja sēklas</t>
  </si>
  <si>
    <t>16-34</t>
  </si>
  <si>
    <t>Augu zemes transports uz atbērtni</t>
  </si>
  <si>
    <t>Žogs</t>
  </si>
  <si>
    <t>16-35</t>
  </si>
  <si>
    <t>Metāla žoga izbūve</t>
  </si>
  <si>
    <t>16-36</t>
  </si>
  <si>
    <t>Protect Zn metāla žogs, pārklāts ar PVC, h=1,52m</t>
  </si>
  <si>
    <t>16-37</t>
  </si>
  <si>
    <t>Žoga stabi 2m Ø44mm</t>
  </si>
  <si>
    <t>16-38</t>
  </si>
  <si>
    <t>Divviru vārti (plat.1,75 m)</t>
  </si>
  <si>
    <t>16-39</t>
  </si>
  <si>
    <t>Divviru vārti (plat. 3,5m)</t>
  </si>
  <si>
    <t>16-40</t>
  </si>
  <si>
    <t>Piezīmes:</t>
  </si>
  <si>
    <t>Visi darbu veidi un materiālu daudzumi ir noteikti teorētiski.</t>
  </si>
  <si>
    <t xml:space="preserve">Būvuzņēmējam jāievērtē darbu daudzumos minēto darbu veikšanai nepieciešamie materiāli un </t>
  </si>
  <si>
    <t xml:space="preserve">papildus darbi, kas nav minēti šajā sarakstā, bet bez kuriem nav iespējama galveno būvdarbu </t>
  </si>
  <si>
    <t>tehnoloģiski pareiza izpilde pēc spēkā esošajiem normatīviem.</t>
  </si>
  <si>
    <t>Materiālu apjomi, kuri iebūvējot ir norādīti m³, ir sastādīti ievērojot materiālu sablīvēšanās koeficientus būvniecības laikā.</t>
  </si>
  <si>
    <t>Beramie un gabalmateriāli doti iebūvētā veidā.</t>
  </si>
  <si>
    <t>Konstrukciju elementu komplektācija atbilstoši izgatavotāju firmu instrukcijām.</t>
  </si>
  <si>
    <t>Saskaņojot ar pasūtītāju un projekta autoru iespējams izmantot citu firmu analogas kvalitātes materiālus.</t>
  </si>
  <si>
    <t>Gadījumos, kad nav skaidri saprotama kāda darba veida vai materiāla nepieciešamā informācija, obligāti sazināties ar projekta autoru.</t>
  </si>
  <si>
    <t>Visus nepieciešamos izstrādājumus un materiālus iebūvēt atbilstoši konkrētā ražotāja instrukcijām un noteikumiem.</t>
  </si>
  <si>
    <t>BA-17/3/2010</t>
  </si>
  <si>
    <t>Pagraba izbūves darbi</t>
  </si>
  <si>
    <t>Pagrabs</t>
  </si>
  <si>
    <t>17-1</t>
  </si>
  <si>
    <t>17-2</t>
  </si>
  <si>
    <t>17-3</t>
  </si>
  <si>
    <t>Grunts izstrāde pagraba pamatiem, pārvietošana, grunts atpakaļ atbēršana un liekās grunts aizvešana uz atbērtni</t>
  </si>
  <si>
    <t>Pamati</t>
  </si>
  <si>
    <t>17-4</t>
  </si>
  <si>
    <t>Ierīko šķembu pamatkārtu zem pagraba grīdas plātnes</t>
  </si>
  <si>
    <t>17-5</t>
  </si>
  <si>
    <t>17-6</t>
  </si>
  <si>
    <t>Blietātas smilšu kārtas izbūve b=50mm</t>
  </si>
  <si>
    <t>17-7</t>
  </si>
  <si>
    <t>17-8</t>
  </si>
  <si>
    <t>17-9</t>
  </si>
  <si>
    <t>17-10</t>
  </si>
  <si>
    <t>17-11</t>
  </si>
  <si>
    <t>Pamatu betonēšana koka kolonnām</t>
  </si>
  <si>
    <t>17-12</t>
  </si>
  <si>
    <t>17-13</t>
  </si>
  <si>
    <t>17-14</t>
  </si>
  <si>
    <t>Ieliekamās detaļas</t>
  </si>
  <si>
    <t>17-15</t>
  </si>
  <si>
    <t>Betona sūknēšana</t>
  </si>
  <si>
    <t>17-16</t>
  </si>
  <si>
    <t xml:space="preserve">Stiegrotas monalītas dzelzbetona plātnes izbūve pagrabam b=200mm </t>
  </si>
  <si>
    <t>17-17</t>
  </si>
  <si>
    <t>17-18</t>
  </si>
  <si>
    <t>17-19</t>
  </si>
  <si>
    <t>17-20</t>
  </si>
  <si>
    <t>17-21</t>
  </si>
  <si>
    <t>Montē saliekamā dzelzbetona blokus, veic šuvju aizdari ar javu un betonē stiegrotu monolītu joslu virs pamatu blokiem</t>
  </si>
  <si>
    <t>17-22</t>
  </si>
  <si>
    <t xml:space="preserve">Pamatu bloki h-600, b-400 </t>
  </si>
  <si>
    <t>17-23</t>
  </si>
  <si>
    <t>Cementa java</t>
  </si>
  <si>
    <t>17-24</t>
  </si>
  <si>
    <t>Betona josla virs pamatu blokiem un aizbetonējumi starp blokiem</t>
  </si>
  <si>
    <t>17-25</t>
  </si>
  <si>
    <t>17-26</t>
  </si>
  <si>
    <t>Stiegras AIII</t>
  </si>
  <si>
    <t>17-27</t>
  </si>
  <si>
    <t>17-28</t>
  </si>
  <si>
    <t>Horizontālās un vertikālās  hidroizolācijas ierīkošana pamatu,  konstrukcijās</t>
  </si>
  <si>
    <t>Pagrabstāva pārsegums</t>
  </si>
  <si>
    <t>17-29</t>
  </si>
  <si>
    <t>Montē pārseguma paneļus ar autoceltni,  paneļus noenkuro</t>
  </si>
  <si>
    <t>17-30</t>
  </si>
  <si>
    <t>Pārseguma panelis EP6/220-101 3360x1196x200</t>
  </si>
  <si>
    <t>17-31</t>
  </si>
  <si>
    <t>Pārseguma panelis EP6/220-102 3360x800x200</t>
  </si>
  <si>
    <t>17-32</t>
  </si>
  <si>
    <t>17-33</t>
  </si>
  <si>
    <t>Pārseguma betonēšanas (skat. BK-2;3;4)</t>
  </si>
  <si>
    <t>17-34</t>
  </si>
  <si>
    <t>17-35</t>
  </si>
  <si>
    <t>17-36</t>
  </si>
  <si>
    <t xml:space="preserve">I stāva pārseguma </t>
  </si>
  <si>
    <t>17-37</t>
  </si>
  <si>
    <t>Siltumizolācijas ierīkošana starp koka sijām</t>
  </si>
  <si>
    <t>17-38</t>
  </si>
  <si>
    <t>17-39</t>
  </si>
  <si>
    <t>Siltumizolācija b=150mm</t>
  </si>
  <si>
    <t>17-40</t>
  </si>
  <si>
    <t>Tvaikaplēves ierīkošana</t>
  </si>
  <si>
    <t>17-41</t>
  </si>
  <si>
    <t>Mūra sienas</t>
  </si>
  <si>
    <t>17-42</t>
  </si>
  <si>
    <t>17-43</t>
  </si>
  <si>
    <t>17-44</t>
  </si>
  <si>
    <t>17-45</t>
  </si>
  <si>
    <t>17-46</t>
  </si>
  <si>
    <t>Ailu pārsedžu montāža</t>
  </si>
  <si>
    <t>17-47</t>
  </si>
  <si>
    <t xml:space="preserve"> Pārsedze 300x185x2090mm</t>
  </si>
  <si>
    <t>17-48</t>
  </si>
  <si>
    <t xml:space="preserve"> Pārsedze 300x185x1490mm</t>
  </si>
  <si>
    <t>17-49</t>
  </si>
  <si>
    <t>Stiegrota monolīta dz.betona josla zem mūrlatas</t>
  </si>
  <si>
    <t>17-50</t>
  </si>
  <si>
    <t>17-51</t>
  </si>
  <si>
    <t>17-52</t>
  </si>
  <si>
    <t xml:space="preserve">Betons B25 F150 </t>
  </si>
  <si>
    <t>17-53</t>
  </si>
  <si>
    <t>Horizontālās hidroizolācija</t>
  </si>
  <si>
    <t>Koka konstrukcijas</t>
  </si>
  <si>
    <t>17-54</t>
  </si>
  <si>
    <t>Jumta nesošās koka konstrukcijas sagatavošana un uzstādīšana</t>
  </si>
  <si>
    <t>17-55</t>
  </si>
  <si>
    <t>17-56</t>
  </si>
  <si>
    <t>Jumta segums un notekas</t>
  </si>
  <si>
    <t>17-57</t>
  </si>
  <si>
    <t>17-58</t>
  </si>
  <si>
    <t>17-59</t>
  </si>
  <si>
    <t>17-60</t>
  </si>
  <si>
    <t>17-61</t>
  </si>
  <si>
    <t>17-62</t>
  </si>
  <si>
    <t>17-63</t>
  </si>
  <si>
    <t>17-64</t>
  </si>
  <si>
    <t>17-65</t>
  </si>
  <si>
    <t>17-66</t>
  </si>
  <si>
    <t>17-67</t>
  </si>
  <si>
    <t>17-68</t>
  </si>
  <si>
    <t>17-69</t>
  </si>
  <si>
    <t>17-70</t>
  </si>
  <si>
    <t>17-71</t>
  </si>
  <si>
    <t>17-72</t>
  </si>
  <si>
    <t>Logi , durvis, palodzes</t>
  </si>
  <si>
    <t>17-73</t>
  </si>
  <si>
    <t>Logu bloku ar palodzēm montāža</t>
  </si>
  <si>
    <t>17-74</t>
  </si>
  <si>
    <t xml:space="preserve">Logu bloks </t>
  </si>
  <si>
    <t>17-75</t>
  </si>
  <si>
    <t>Palodzes iekšējās</t>
  </si>
  <si>
    <t>17-76</t>
  </si>
  <si>
    <t>Palodzes ārējā</t>
  </si>
  <si>
    <t>17-77</t>
  </si>
  <si>
    <t>17-78</t>
  </si>
  <si>
    <t>17-79</t>
  </si>
  <si>
    <t>Durvis D1</t>
  </si>
  <si>
    <t>17-80</t>
  </si>
  <si>
    <t>Durvis D2</t>
  </si>
  <si>
    <t>17-81</t>
  </si>
  <si>
    <t>Durvis D10</t>
  </si>
  <si>
    <t>17-82</t>
  </si>
  <si>
    <t xml:space="preserve">Pamatu sienas </t>
  </si>
  <si>
    <t>17-83</t>
  </si>
  <si>
    <t>Pamatu sienu  virsmu aplīmēšana ar siltumizolācijas plāksnēm</t>
  </si>
  <si>
    <t>17-84</t>
  </si>
  <si>
    <t>17-85</t>
  </si>
  <si>
    <t>Līmjava</t>
  </si>
  <si>
    <t>17-86</t>
  </si>
  <si>
    <t>Stiprinājumi</t>
  </si>
  <si>
    <t>17-87</t>
  </si>
  <si>
    <t>Stiegrota slāņa izveidošana uz siltumizolācijas plākšņu virsmas</t>
  </si>
  <si>
    <t>17-88</t>
  </si>
  <si>
    <t>Stiklašķiedras siets</t>
  </si>
  <si>
    <t>17-89</t>
  </si>
  <si>
    <t>Armējošā java</t>
  </si>
  <si>
    <t>17-90</t>
  </si>
  <si>
    <t>PVC stūris ar sietu</t>
  </si>
  <si>
    <t>17-91</t>
  </si>
  <si>
    <t>Stegrotā slāņa špaktelēšana</t>
  </si>
  <si>
    <t>17-92</t>
  </si>
  <si>
    <t>Špakteļmasa ārdarbiem</t>
  </si>
  <si>
    <t>17-93</t>
  </si>
  <si>
    <t>17-94</t>
  </si>
  <si>
    <t>Tas pats krāsošana</t>
  </si>
  <si>
    <t>17-95</t>
  </si>
  <si>
    <t>17-96</t>
  </si>
  <si>
    <t>Krāsa cokolam ar toni</t>
  </si>
  <si>
    <t>Iekšējie apdares darbi</t>
  </si>
  <si>
    <t>Grīda</t>
  </si>
  <si>
    <t>17-97</t>
  </si>
  <si>
    <t>17-98</t>
  </si>
  <si>
    <t>17-99</t>
  </si>
  <si>
    <t>17-100</t>
  </si>
  <si>
    <t>17-101</t>
  </si>
  <si>
    <t>17-102</t>
  </si>
  <si>
    <t>17-103</t>
  </si>
  <si>
    <t>17-104</t>
  </si>
  <si>
    <t>17-105</t>
  </si>
  <si>
    <t xml:space="preserve">Sienas </t>
  </si>
  <si>
    <t>17-106</t>
  </si>
  <si>
    <t>17-107</t>
  </si>
  <si>
    <t>17-108</t>
  </si>
  <si>
    <t>Mūra sienu gruntēšana,  špaktelēšana, slīpēšana (sienas ar ailēm)</t>
  </si>
  <si>
    <t>17-109</t>
  </si>
  <si>
    <t>17-110</t>
  </si>
  <si>
    <t>17-111</t>
  </si>
  <si>
    <t>17-112</t>
  </si>
  <si>
    <t>Cinkotie stūri</t>
  </si>
  <si>
    <t>17-113</t>
  </si>
  <si>
    <t xml:space="preserve">Sienu krāsošana </t>
  </si>
  <si>
    <t>17-114</t>
  </si>
  <si>
    <t>17-115</t>
  </si>
  <si>
    <t>17-116</t>
  </si>
  <si>
    <t>17-117</t>
  </si>
  <si>
    <t>17-118</t>
  </si>
  <si>
    <t>17-119</t>
  </si>
  <si>
    <t>17-120</t>
  </si>
  <si>
    <t>17-121</t>
  </si>
  <si>
    <t>Ģipškartona griestu apdare</t>
  </si>
  <si>
    <t>17-122</t>
  </si>
  <si>
    <t>BA-18/3/2010</t>
  </si>
  <si>
    <t>Apkure 1. stāvs esošā ēkas daļa</t>
  </si>
  <si>
    <t xml:space="preserve">Apkure </t>
  </si>
  <si>
    <t>18-1</t>
  </si>
  <si>
    <t>Apkures radiatoru uzstādīšana un pieslēgšana, komplektā ar stiprinājumiem, pieslēguma mezgliem un termoregulatoru</t>
  </si>
  <si>
    <t>18-2</t>
  </si>
  <si>
    <t>Tērauda radiators PURMO Compact ar cauruļvadu sānu pievienojumu, komplektā ar atgaisotāju, korķi un stiprinājuma kronšteiniem 546W, C 22-500-700 vai analogs</t>
  </si>
  <si>
    <t>18-3</t>
  </si>
  <si>
    <t>Tas pats, 781W, C 22-500-1000</t>
  </si>
  <si>
    <t>18-4</t>
  </si>
  <si>
    <t>18-5</t>
  </si>
  <si>
    <t>18-6</t>
  </si>
  <si>
    <t>18-7</t>
  </si>
  <si>
    <t>18-10</t>
  </si>
  <si>
    <t>18-11</t>
  </si>
  <si>
    <t>Radiatora termoregulators  DANFOSS RTD 3120 vai analogs</t>
  </si>
  <si>
    <t>18-12</t>
  </si>
  <si>
    <t>18-13</t>
  </si>
  <si>
    <t>Apkures sistēmas uzpildīšana, pārbaude</t>
  </si>
  <si>
    <t>BA-19/3/2010</t>
  </si>
  <si>
    <t>Iekšējie apdares darbi 1.stāvs</t>
  </si>
  <si>
    <t>19-1</t>
  </si>
  <si>
    <t>Vecā grīdas seguma demontāža (neskaitot flīžu segumu)</t>
  </si>
  <si>
    <t>19-2</t>
  </si>
  <si>
    <t>Flīžu seguma demontāža</t>
  </si>
  <si>
    <t>19-3</t>
  </si>
  <si>
    <t>Griestu konstrukcijas nojaukšana līdz esošajām pārseguma sijām</t>
  </si>
  <si>
    <t>19-4</t>
  </si>
  <si>
    <t>Elektroinstalācijas nojaukšana vietās kur nepieciešams</t>
  </si>
  <si>
    <t>19-5</t>
  </si>
  <si>
    <t>Grīdlīstu demontāža</t>
  </si>
  <si>
    <t>19-6</t>
  </si>
  <si>
    <t>19-7</t>
  </si>
  <si>
    <t>19-8</t>
  </si>
  <si>
    <t>19-9</t>
  </si>
  <si>
    <t>Durvis D-4</t>
  </si>
  <si>
    <t>19-10</t>
  </si>
  <si>
    <t>19-11</t>
  </si>
  <si>
    <t>19-12</t>
  </si>
  <si>
    <t>Grīdas remonts demontēto apkures krāšņu vietās</t>
  </si>
  <si>
    <t>vietas</t>
  </si>
  <si>
    <t>19-13</t>
  </si>
  <si>
    <t>Grīdas remonts pirms flīzēšanas</t>
  </si>
  <si>
    <t>19-14</t>
  </si>
  <si>
    <t>19-15</t>
  </si>
  <si>
    <t xml:space="preserve">Flīzes </t>
  </si>
  <si>
    <t>19-16</t>
  </si>
  <si>
    <t>19-17</t>
  </si>
  <si>
    <t>19-18</t>
  </si>
  <si>
    <t>Grīdas seguma sagatavošana pirms linoleja ieklāšanas</t>
  </si>
  <si>
    <t>19-19</t>
  </si>
  <si>
    <t>19-20</t>
  </si>
  <si>
    <t>19-21</t>
  </si>
  <si>
    <t>19-22</t>
  </si>
  <si>
    <t>19-23</t>
  </si>
  <si>
    <t>19-24</t>
  </si>
  <si>
    <t>19-25</t>
  </si>
  <si>
    <t>19-26</t>
  </si>
  <si>
    <t xml:space="preserve">Sienu sagatavošana apdarei </t>
  </si>
  <si>
    <t>19-27</t>
  </si>
  <si>
    <t>19-28</t>
  </si>
  <si>
    <t>19-29</t>
  </si>
  <si>
    <t>19-30</t>
  </si>
  <si>
    <t>19-31</t>
  </si>
  <si>
    <t>19-32</t>
  </si>
  <si>
    <t>19-33</t>
  </si>
  <si>
    <t>19-34</t>
  </si>
  <si>
    <t>Ailu sanmalas un šauras plaknes apdare</t>
  </si>
  <si>
    <t>19-35</t>
  </si>
  <si>
    <t>Grunts x2</t>
  </si>
  <si>
    <t>19-36</t>
  </si>
  <si>
    <t>19-37</t>
  </si>
  <si>
    <t>19-38</t>
  </si>
  <si>
    <t>19-39</t>
  </si>
  <si>
    <t>19-40</t>
  </si>
  <si>
    <t>19-41</t>
  </si>
  <si>
    <t>Iekārto plākšņu griestu atjaunošana  pēc komunikāciju izbūves</t>
  </si>
  <si>
    <t>19-42</t>
  </si>
  <si>
    <t>Iekārto ģipškartona griestu atjaunošana pēc komunikāciju izbūves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</si>
</sst>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#,##0.00"/>
    <numFmt numFmtId="167" formatCode="0.00"/>
    <numFmt numFmtId="168" formatCode="@"/>
    <numFmt numFmtId="169" formatCode="0.0"/>
    <numFmt numFmtId="170" formatCode="0"/>
    <numFmt numFmtId="171" formatCode="_-* #,##0.00_-;\-* #,##0.00_-;_-* \-??_-;_-@_-"/>
  </numFmts>
  <fonts count="68"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Microsoft Sans Serif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color indexed="10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i/>
      <vertAlign val="superscript"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color indexed="10"/>
      <name val="Arial"/>
      <family val="2"/>
    </font>
    <font>
      <i/>
      <u val="single"/>
      <sz val="10"/>
      <color indexed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0"/>
      <name val="Arial"/>
      <family val="2"/>
    </font>
    <font>
      <b/>
      <vertAlign val="subscript"/>
      <sz val="10"/>
      <name val="Arial"/>
      <family val="2"/>
    </font>
    <font>
      <sz val="9"/>
      <name val="Arial"/>
      <family val="2"/>
    </font>
    <font>
      <u val="single"/>
      <sz val="11"/>
      <color indexed="10"/>
      <name val="Arial"/>
      <family val="2"/>
    </font>
    <font>
      <i/>
      <sz val="8"/>
      <name val="Arial"/>
      <family val="2"/>
    </font>
    <font>
      <b/>
      <sz val="10"/>
      <name val="LT Arial"/>
      <family val="0"/>
    </font>
    <font>
      <i/>
      <sz val="10"/>
      <name val="LT Arial"/>
      <family val="0"/>
    </font>
    <font>
      <u val="single"/>
      <sz val="11"/>
      <color indexed="10"/>
      <name val="LT Arial"/>
      <family val="0"/>
    </font>
    <font>
      <b/>
      <sz val="18"/>
      <name val="Arial"/>
      <family val="2"/>
    </font>
    <font>
      <b/>
      <i/>
      <sz val="8"/>
      <name val="Arial"/>
      <family val="2"/>
    </font>
    <font>
      <i/>
      <u val="single"/>
      <sz val="9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i/>
      <sz val="10"/>
      <name val="Calibri"/>
      <family val="2"/>
    </font>
    <font>
      <i/>
      <vertAlign val="superscript"/>
      <sz val="10"/>
      <color indexed="8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i/>
      <sz val="10"/>
      <color indexed="58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i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0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7" borderId="0" applyNumberFormat="0" applyBorder="0" applyAlignment="0" applyProtection="0"/>
    <xf numFmtId="164" fontId="2" fillId="12" borderId="0" applyNumberFormat="0" applyBorder="0" applyAlignment="0" applyProtection="0"/>
    <xf numFmtId="164" fontId="2" fillId="15" borderId="0" applyNumberFormat="0" applyBorder="0" applyAlignment="0" applyProtection="0"/>
    <xf numFmtId="164" fontId="1" fillId="16" borderId="0" applyNumberFormat="0" applyBorder="0" applyAlignment="0" applyProtection="0"/>
    <xf numFmtId="164" fontId="1" fillId="17" borderId="0" applyNumberFormat="0" applyBorder="0" applyAlignment="0" applyProtection="0"/>
    <xf numFmtId="164" fontId="1" fillId="18" borderId="0" applyNumberFormat="0" applyBorder="0" applyAlignment="0" applyProtection="0"/>
    <xf numFmtId="164" fontId="1" fillId="13" borderId="0" applyNumberFormat="0" applyBorder="0" applyAlignment="0" applyProtection="0"/>
    <xf numFmtId="164" fontId="1" fillId="14" borderId="0" applyNumberFormat="0" applyBorder="0" applyAlignment="0" applyProtection="0"/>
    <xf numFmtId="164" fontId="1" fillId="11" borderId="0" applyNumberFormat="0" applyBorder="0" applyAlignment="0" applyProtection="0"/>
    <xf numFmtId="164" fontId="1" fillId="16" borderId="0" applyNumberFormat="0" applyBorder="0" applyAlignment="0" applyProtection="0"/>
    <xf numFmtId="164" fontId="1" fillId="19" borderId="0" applyNumberFormat="0" applyBorder="0" applyAlignment="0" applyProtection="0"/>
    <xf numFmtId="164" fontId="3" fillId="20" borderId="1" applyNumberFormat="0" applyAlignment="0" applyProtection="0"/>
    <xf numFmtId="164" fontId="4" fillId="0" borderId="0" applyNumberFormat="0" applyFill="0" applyBorder="0" applyAlignment="0" applyProtection="0"/>
    <xf numFmtId="164" fontId="5" fillId="9" borderId="1" applyNumberFormat="0" applyAlignment="0" applyProtection="0"/>
    <xf numFmtId="164" fontId="6" fillId="20" borderId="2" applyNumberFormat="0" applyAlignment="0" applyProtection="0"/>
    <xf numFmtId="164" fontId="7" fillId="0" borderId="3" applyNumberFormat="0" applyFill="0" applyAlignment="0" applyProtection="0"/>
    <xf numFmtId="164" fontId="8" fillId="6" borderId="0" applyNumberFormat="0" applyBorder="0" applyAlignment="0" applyProtection="0"/>
    <xf numFmtId="164" fontId="9" fillId="21" borderId="0" applyNumberFormat="0" applyBorder="0" applyAlignment="0" applyProtection="0"/>
    <xf numFmtId="164" fontId="0" fillId="0" borderId="0">
      <alignment/>
      <protection/>
    </xf>
    <xf numFmtId="164" fontId="10" fillId="0" borderId="0" applyNumberFormat="0" applyFill="0" applyBorder="0" applyAlignment="0" applyProtection="0"/>
    <xf numFmtId="164" fontId="11" fillId="22" borderId="4" applyNumberFormat="0" applyAlignment="0" applyProtection="0"/>
    <xf numFmtId="164" fontId="12" fillId="0" borderId="0" applyNumberFormat="0" applyFill="0" applyBorder="0" applyAlignment="0" applyProtection="0"/>
    <xf numFmtId="164" fontId="0" fillId="23" borderId="5" applyNumberFormat="0" applyAlignment="0" applyProtection="0"/>
    <xf numFmtId="164" fontId="13" fillId="0" borderId="6" applyNumberFormat="0" applyFill="0" applyAlignment="0" applyProtection="0"/>
    <xf numFmtId="164" fontId="14" fillId="5" borderId="0" applyNumberFormat="0" applyBorder="0" applyAlignment="0" applyProtection="0"/>
    <xf numFmtId="164" fontId="15" fillId="0" borderId="7" applyNumberFormat="0" applyFill="0" applyAlignment="0" applyProtection="0"/>
    <xf numFmtId="164" fontId="16" fillId="0" borderId="8" applyNumberFormat="0" applyFill="0" applyAlignment="0" applyProtection="0"/>
    <xf numFmtId="164" fontId="17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358">
    <xf numFmtId="164" fontId="0" fillId="0" borderId="0" xfId="0" applyAlignment="1">
      <alignment/>
    </xf>
    <xf numFmtId="164" fontId="18" fillId="0" borderId="0" xfId="0" applyFont="1" applyAlignment="1">
      <alignment horizontal="center"/>
    </xf>
    <xf numFmtId="164" fontId="19" fillId="0" borderId="0" xfId="0" applyFont="1" applyBorder="1" applyAlignment="1">
      <alignment horizontal="center" wrapText="1"/>
    </xf>
    <xf numFmtId="164" fontId="20" fillId="0" borderId="0" xfId="0" applyFont="1" applyAlignment="1">
      <alignment horizontal="center" shrinkToFit="1"/>
    </xf>
    <xf numFmtId="164" fontId="21" fillId="0" borderId="0" xfId="0" applyFont="1" applyBorder="1" applyAlignment="1">
      <alignment horizontal="left"/>
    </xf>
    <xf numFmtId="164" fontId="22" fillId="0" borderId="0" xfId="0" applyFont="1" applyAlignment="1">
      <alignment/>
    </xf>
    <xf numFmtId="164" fontId="21" fillId="0" borderId="0" xfId="0" applyFont="1" applyAlignment="1">
      <alignment horizontal="left"/>
    </xf>
    <xf numFmtId="164" fontId="0" fillId="0" borderId="0" xfId="0" applyFont="1" applyFill="1" applyBorder="1" applyAlignment="1">
      <alignment horizontal="left" vertical="center"/>
    </xf>
    <xf numFmtId="164" fontId="0" fillId="0" borderId="0" xfId="0" applyFont="1" applyFill="1" applyAlignment="1">
      <alignment horizontal="left" vertical="center" wrapText="1"/>
    </xf>
    <xf numFmtId="164" fontId="0" fillId="0" borderId="0" xfId="0" applyFont="1" applyFill="1" applyAlignment="1">
      <alignment vertical="center"/>
    </xf>
    <xf numFmtId="164" fontId="0" fillId="0" borderId="0" xfId="0" applyFont="1" applyFill="1" applyAlignment="1">
      <alignment horizontal="left" vertical="center"/>
    </xf>
    <xf numFmtId="164" fontId="0" fillId="0" borderId="0" xfId="0" applyFont="1" applyFill="1" applyAlignment="1">
      <alignment vertical="center" wrapText="1"/>
    </xf>
    <xf numFmtId="164" fontId="23" fillId="0" borderId="0" xfId="0" applyFont="1" applyAlignment="1">
      <alignment horizontal="left" shrinkToFit="1"/>
    </xf>
    <xf numFmtId="164" fontId="23" fillId="0" borderId="0" xfId="0" applyFont="1" applyBorder="1" applyAlignment="1">
      <alignment horizontal="left"/>
    </xf>
    <xf numFmtId="164" fontId="24" fillId="0" borderId="0" xfId="0" applyFont="1" applyAlignment="1">
      <alignment horizontal="left"/>
    </xf>
    <xf numFmtId="164" fontId="25" fillId="0" borderId="0" xfId="0" applyFont="1" applyBorder="1" applyAlignment="1">
      <alignment horizontal="left"/>
    </xf>
    <xf numFmtId="164" fontId="26" fillId="0" borderId="10" xfId="0" applyFont="1" applyBorder="1" applyAlignment="1">
      <alignment horizontal="center"/>
    </xf>
    <xf numFmtId="164" fontId="27" fillId="0" borderId="0" xfId="0" applyFont="1" applyBorder="1" applyAlignment="1">
      <alignment/>
    </xf>
    <xf numFmtId="164" fontId="0" fillId="0" borderId="0" xfId="0" applyBorder="1" applyAlignment="1">
      <alignment/>
    </xf>
    <xf numFmtId="164" fontId="26" fillId="0" borderId="10" xfId="0" applyFont="1" applyBorder="1" applyAlignment="1">
      <alignment horizontal="right"/>
    </xf>
    <xf numFmtId="164" fontId="27" fillId="0" borderId="10" xfId="0" applyFont="1" applyBorder="1" applyAlignment="1">
      <alignment/>
    </xf>
    <xf numFmtId="164" fontId="27" fillId="0" borderId="11" xfId="0" applyFont="1" applyBorder="1" applyAlignment="1">
      <alignment/>
    </xf>
    <xf numFmtId="164" fontId="21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25" fillId="0" borderId="0" xfId="0" applyFont="1" applyAlignment="1">
      <alignment horizontal="center"/>
    </xf>
    <xf numFmtId="164" fontId="25" fillId="0" borderId="0" xfId="0" applyFont="1" applyAlignment="1">
      <alignment/>
    </xf>
    <xf numFmtId="164" fontId="21" fillId="0" borderId="0" xfId="0" applyFont="1" applyBorder="1" applyAlignment="1">
      <alignment horizontal="center"/>
    </xf>
    <xf numFmtId="164" fontId="0" fillId="0" borderId="0" xfId="0" applyAlignment="1">
      <alignment/>
    </xf>
    <xf numFmtId="164" fontId="25" fillId="0" borderId="0" xfId="0" applyFont="1" applyBorder="1" applyAlignment="1">
      <alignment horizontal="center"/>
    </xf>
    <xf numFmtId="164" fontId="0" fillId="0" borderId="0" xfId="0" applyFont="1" applyFill="1" applyAlignment="1">
      <alignment horizontal="center" vertical="center" wrapText="1"/>
    </xf>
    <xf numFmtId="164" fontId="18" fillId="0" borderId="0" xfId="0" applyFont="1" applyFill="1" applyBorder="1" applyAlignment="1">
      <alignment horizontal="center" vertical="center" wrapText="1"/>
    </xf>
    <xf numFmtId="164" fontId="28" fillId="0" borderId="0" xfId="0" applyFont="1" applyFill="1" applyAlignment="1">
      <alignment vertical="center" wrapText="1"/>
    </xf>
    <xf numFmtId="164" fontId="29" fillId="0" borderId="0" xfId="0" applyFont="1" applyAlignment="1">
      <alignment/>
    </xf>
    <xf numFmtId="164" fontId="0" fillId="0" borderId="12" xfId="0" applyFont="1" applyFill="1" applyBorder="1" applyAlignment="1">
      <alignment horizontal="right" vertical="center" wrapText="1"/>
    </xf>
    <xf numFmtId="164" fontId="0" fillId="0" borderId="12" xfId="0" applyFont="1" applyFill="1" applyBorder="1" applyAlignment="1">
      <alignment horizontal="left" vertical="center" wrapText="1"/>
    </xf>
    <xf numFmtId="164" fontId="0" fillId="0" borderId="13" xfId="0" applyFont="1" applyFill="1" applyBorder="1" applyAlignment="1">
      <alignment horizontal="center" vertical="center" wrapText="1"/>
    </xf>
    <xf numFmtId="164" fontId="28" fillId="0" borderId="13" xfId="0" applyFont="1" applyFill="1" applyBorder="1" applyAlignment="1">
      <alignment horizontal="center" vertical="center" wrapText="1"/>
    </xf>
    <xf numFmtId="164" fontId="28" fillId="0" borderId="10" xfId="0" applyFont="1" applyFill="1" applyBorder="1" applyAlignment="1">
      <alignment horizontal="center" vertical="center" wrapText="1"/>
    </xf>
    <xf numFmtId="164" fontId="28" fillId="0" borderId="14" xfId="0" applyFont="1" applyFill="1" applyBorder="1" applyAlignment="1">
      <alignment horizontal="center" vertical="center" wrapText="1"/>
    </xf>
    <xf numFmtId="164" fontId="0" fillId="0" borderId="10" xfId="0" applyFont="1" applyFill="1" applyBorder="1" applyAlignment="1">
      <alignment horizontal="center" vertical="center" wrapText="1"/>
    </xf>
    <xf numFmtId="164" fontId="30" fillId="0" borderId="10" xfId="20" applyNumberFormat="1" applyFill="1" applyBorder="1" applyAlignment="1" applyProtection="1">
      <alignment vertical="center" wrapText="1"/>
      <protection/>
    </xf>
    <xf numFmtId="165" fontId="0" fillId="0" borderId="10" xfId="15" applyFont="1" applyFill="1" applyBorder="1" applyAlignment="1" applyProtection="1">
      <alignment vertical="center" wrapText="1"/>
      <protection/>
    </xf>
    <xf numFmtId="166" fontId="0" fillId="0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Fill="1" applyAlignment="1">
      <alignment vertical="center" wrapText="1"/>
    </xf>
    <xf numFmtId="164" fontId="28" fillId="0" borderId="10" xfId="0" applyFont="1" applyFill="1" applyBorder="1" applyAlignment="1">
      <alignment horizontal="right"/>
    </xf>
    <xf numFmtId="167" fontId="0" fillId="0" borderId="10" xfId="0" applyNumberFormat="1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31" fillId="0" borderId="10" xfId="0" applyFont="1" applyFill="1" applyBorder="1" applyAlignment="1">
      <alignment horizontal="right"/>
    </xf>
    <xf numFmtId="164" fontId="28" fillId="0" borderId="0" xfId="0" applyFont="1" applyAlignment="1">
      <alignment/>
    </xf>
    <xf numFmtId="164" fontId="32" fillId="0" borderId="0" xfId="0" applyFont="1" applyAlignment="1">
      <alignment/>
    </xf>
    <xf numFmtId="164" fontId="33" fillId="0" borderId="0" xfId="0" applyFont="1" applyAlignment="1">
      <alignment/>
    </xf>
    <xf numFmtId="164" fontId="0" fillId="0" borderId="0" xfId="0" applyFont="1" applyFill="1" applyBorder="1" applyAlignment="1">
      <alignment vertical="center"/>
    </xf>
    <xf numFmtId="164" fontId="0" fillId="0" borderId="0" xfId="0" applyFont="1" applyFill="1" applyBorder="1" applyAlignment="1">
      <alignment horizontal="right" vertical="center" wrapText="1"/>
    </xf>
    <xf numFmtId="167" fontId="0" fillId="0" borderId="0" xfId="0" applyNumberFormat="1" applyFont="1" applyFill="1" applyBorder="1" applyAlignment="1">
      <alignment vertical="center" wrapText="1"/>
    </xf>
    <xf numFmtId="164" fontId="0" fillId="0" borderId="0" xfId="0" applyFont="1" applyFill="1" applyBorder="1" applyAlignment="1">
      <alignment vertical="center" wrapText="1"/>
    </xf>
    <xf numFmtId="164" fontId="0" fillId="0" borderId="0" xfId="0" applyFont="1" applyFill="1" applyBorder="1" applyAlignment="1">
      <alignment horizontal="left" vertical="center" wrapText="1"/>
    </xf>
    <xf numFmtId="164" fontId="30" fillId="0" borderId="10" xfId="20" applyNumberFormat="1" applyFill="1" applyBorder="1" applyAlignment="1" applyProtection="1">
      <alignment horizontal="left" vertical="center" wrapText="1"/>
      <protection/>
    </xf>
    <xf numFmtId="165" fontId="0" fillId="0" borderId="10" xfId="15" applyFont="1" applyFill="1" applyBorder="1" applyAlignment="1" applyProtection="1">
      <alignment horizontal="center" vertical="center" wrapText="1"/>
      <protection/>
    </xf>
    <xf numFmtId="164" fontId="34" fillId="0" borderId="15" xfId="0" applyFont="1" applyFill="1" applyBorder="1" applyAlignment="1">
      <alignment vertical="center"/>
    </xf>
    <xf numFmtId="164" fontId="18" fillId="0" borderId="16" xfId="0" applyFont="1" applyFill="1" applyBorder="1" applyAlignment="1">
      <alignment vertical="center"/>
    </xf>
    <xf numFmtId="164" fontId="18" fillId="0" borderId="0" xfId="0" applyFont="1" applyFill="1" applyAlignment="1">
      <alignment vertical="center"/>
    </xf>
    <xf numFmtId="164" fontId="28" fillId="0" borderId="0" xfId="0" applyFont="1" applyFill="1" applyAlignment="1">
      <alignment vertical="center"/>
    </xf>
    <xf numFmtId="166" fontId="28" fillId="0" borderId="0" xfId="0" applyNumberFormat="1" applyFont="1" applyFill="1" applyAlignment="1">
      <alignment vertical="center"/>
    </xf>
    <xf numFmtId="164" fontId="28" fillId="0" borderId="0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left"/>
    </xf>
    <xf numFmtId="164" fontId="0" fillId="0" borderId="10" xfId="0" applyFont="1" applyFill="1" applyBorder="1" applyAlignment="1">
      <alignment horizontal="center" vertical="center" textRotation="90" wrapText="1"/>
    </xf>
    <xf numFmtId="164" fontId="0" fillId="0" borderId="10" xfId="0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/>
    </xf>
    <xf numFmtId="168" fontId="28" fillId="0" borderId="17" xfId="0" applyNumberFormat="1" applyFont="1" applyFill="1" applyBorder="1" applyAlignment="1">
      <alignment horizontal="center" vertical="center"/>
    </xf>
    <xf numFmtId="164" fontId="0" fillId="0" borderId="17" xfId="0" applyFont="1" applyFill="1" applyBorder="1" applyAlignment="1">
      <alignment horizontal="center" vertical="center"/>
    </xf>
    <xf numFmtId="164" fontId="35" fillId="0" borderId="17" xfId="0" applyFont="1" applyFill="1" applyBorder="1" applyAlignment="1">
      <alignment horizontal="center" vertical="center"/>
    </xf>
    <xf numFmtId="164" fontId="28" fillId="0" borderId="17" xfId="0" applyFont="1" applyFill="1" applyBorder="1" applyAlignment="1">
      <alignment horizontal="center" vertical="center"/>
    </xf>
    <xf numFmtId="167" fontId="28" fillId="0" borderId="17" xfId="0" applyNumberFormat="1" applyFont="1" applyFill="1" applyBorder="1" applyAlignment="1">
      <alignment horizontal="center" vertical="center"/>
    </xf>
    <xf numFmtId="168" fontId="28" fillId="0" borderId="10" xfId="0" applyNumberFormat="1" applyFont="1" applyFill="1" applyBorder="1" applyAlignment="1">
      <alignment horizontal="center" vertical="center" wrapText="1"/>
    </xf>
    <xf numFmtId="164" fontId="28" fillId="0" borderId="18" xfId="0" applyFont="1" applyFill="1" applyBorder="1" applyAlignment="1">
      <alignment horizontal="left" vertical="center" wrapText="1"/>
    </xf>
    <xf numFmtId="164" fontId="28" fillId="0" borderId="18" xfId="0" applyFont="1" applyFill="1" applyBorder="1" applyAlignment="1">
      <alignment horizontal="center" vertical="center" wrapText="1"/>
    </xf>
    <xf numFmtId="165" fontId="28" fillId="0" borderId="18" xfId="15" applyFont="1" applyFill="1" applyBorder="1" applyAlignment="1" applyProtection="1">
      <alignment horizontal="center" vertical="center" wrapText="1"/>
      <protection/>
    </xf>
    <xf numFmtId="167" fontId="28" fillId="0" borderId="10" xfId="0" applyNumberFormat="1" applyFont="1" applyFill="1" applyBorder="1" applyAlignment="1">
      <alignment horizontal="center" vertical="center"/>
    </xf>
    <xf numFmtId="165" fontId="28" fillId="0" borderId="10" xfId="15" applyFont="1" applyFill="1" applyBorder="1" applyAlignment="1" applyProtection="1">
      <alignment horizontal="center" vertical="center"/>
      <protection/>
    </xf>
    <xf numFmtId="164" fontId="28" fillId="0" borderId="10" xfId="0" applyFont="1" applyFill="1" applyBorder="1" applyAlignment="1">
      <alignment horizontal="left" vertical="center" wrapText="1"/>
    </xf>
    <xf numFmtId="165" fontId="28" fillId="0" borderId="10" xfId="15" applyFont="1" applyFill="1" applyBorder="1" applyAlignment="1" applyProtection="1">
      <alignment horizontal="center" vertical="center" wrapText="1"/>
      <protection/>
    </xf>
    <xf numFmtId="168" fontId="28" fillId="0" borderId="19" xfId="0" applyNumberFormat="1" applyFont="1" applyFill="1" applyBorder="1" applyAlignment="1">
      <alignment horizontal="center" vertical="center" wrapText="1"/>
    </xf>
    <xf numFmtId="164" fontId="28" fillId="0" borderId="19" xfId="0" applyFont="1" applyFill="1" applyBorder="1" applyAlignment="1">
      <alignment horizontal="left" vertical="center" wrapText="1" shrinkToFit="1"/>
    </xf>
    <xf numFmtId="169" fontId="28" fillId="0" borderId="19" xfId="0" applyNumberFormat="1" applyFont="1" applyFill="1" applyBorder="1" applyAlignment="1">
      <alignment horizontal="center" vertical="center" wrapText="1"/>
    </xf>
    <xf numFmtId="164" fontId="28" fillId="0" borderId="19" xfId="0" applyFont="1" applyFill="1" applyBorder="1" applyAlignment="1">
      <alignment horizontal="center" vertical="center"/>
    </xf>
    <xf numFmtId="167" fontId="28" fillId="0" borderId="19" xfId="0" applyNumberFormat="1" applyFont="1" applyFill="1" applyBorder="1" applyAlignment="1">
      <alignment horizontal="center" vertical="center"/>
    </xf>
    <xf numFmtId="165" fontId="28" fillId="0" borderId="19" xfId="15" applyFont="1" applyFill="1" applyBorder="1" applyAlignment="1" applyProtection="1">
      <alignment horizontal="center" vertical="center"/>
      <protection/>
    </xf>
    <xf numFmtId="164" fontId="28" fillId="0" borderId="10" xfId="0" applyFont="1" applyFill="1" applyBorder="1" applyAlignment="1">
      <alignment horizontal="center" vertical="center"/>
    </xf>
    <xf numFmtId="169" fontId="28" fillId="0" borderId="10" xfId="0" applyNumberFormat="1" applyFont="1" applyFill="1" applyBorder="1" applyAlignment="1">
      <alignment horizontal="center" vertical="center" wrapText="1"/>
    </xf>
    <xf numFmtId="164" fontId="28" fillId="0" borderId="10" xfId="0" applyFont="1" applyFill="1" applyBorder="1" applyAlignment="1">
      <alignment horizontal="left" vertical="center" wrapText="1" shrinkToFit="1"/>
    </xf>
    <xf numFmtId="164" fontId="28" fillId="0" borderId="17" xfId="0" applyFont="1" applyFill="1" applyBorder="1" applyAlignment="1">
      <alignment vertical="center" wrapText="1"/>
    </xf>
    <xf numFmtId="164" fontId="28" fillId="0" borderId="17" xfId="0" applyFont="1" applyFill="1" applyBorder="1" applyAlignment="1">
      <alignment horizontal="center" vertical="center" wrapText="1"/>
    </xf>
    <xf numFmtId="165" fontId="28" fillId="0" borderId="17" xfId="15" applyFont="1" applyFill="1" applyBorder="1" applyAlignment="1" applyProtection="1">
      <alignment vertical="center" wrapText="1"/>
      <protection/>
    </xf>
    <xf numFmtId="167" fontId="28" fillId="0" borderId="10" xfId="0" applyNumberFormat="1" applyFont="1" applyFill="1" applyBorder="1" applyAlignment="1">
      <alignment horizontal="center" vertical="center" wrapText="1"/>
    </xf>
    <xf numFmtId="168" fontId="28" fillId="0" borderId="13" xfId="0" applyNumberFormat="1" applyFont="1" applyFill="1" applyBorder="1" applyAlignment="1">
      <alignment horizontal="center" vertical="center" wrapText="1"/>
    </xf>
    <xf numFmtId="164" fontId="28" fillId="0" borderId="13" xfId="0" applyFont="1" applyFill="1" applyBorder="1" applyAlignment="1">
      <alignment vertical="center" wrapText="1"/>
    </xf>
    <xf numFmtId="164" fontId="28" fillId="0" borderId="13" xfId="0" applyFont="1" applyFill="1" applyBorder="1" applyAlignment="1">
      <alignment horizontal="left" vertical="center" wrapText="1"/>
    </xf>
    <xf numFmtId="165" fontId="28" fillId="0" borderId="13" xfId="15" applyFont="1" applyFill="1" applyBorder="1" applyAlignment="1" applyProtection="1">
      <alignment vertical="center" wrapText="1"/>
      <protection/>
    </xf>
    <xf numFmtId="167" fontId="28" fillId="0" borderId="13" xfId="0" applyNumberFormat="1" applyFont="1" applyFill="1" applyBorder="1" applyAlignment="1">
      <alignment horizontal="center" vertical="center" wrapText="1"/>
    </xf>
    <xf numFmtId="165" fontId="28" fillId="0" borderId="13" xfId="15" applyFont="1" applyFill="1" applyBorder="1" applyAlignment="1" applyProtection="1">
      <alignment horizontal="center" vertical="center" wrapText="1"/>
      <protection/>
    </xf>
    <xf numFmtId="164" fontId="0" fillId="0" borderId="20" xfId="0" applyFont="1" applyFill="1" applyBorder="1" applyAlignment="1">
      <alignment horizontal="center" vertical="center"/>
    </xf>
    <xf numFmtId="164" fontId="0" fillId="0" borderId="21" xfId="0" applyFont="1" applyFill="1" applyBorder="1" applyAlignment="1">
      <alignment horizontal="center" vertical="center"/>
    </xf>
    <xf numFmtId="164" fontId="37" fillId="0" borderId="21" xfId="0" applyFont="1" applyFill="1" applyBorder="1" applyAlignment="1">
      <alignment horizontal="center" vertical="center"/>
    </xf>
    <xf numFmtId="168" fontId="28" fillId="0" borderId="10" xfId="0" applyNumberFormat="1" applyFont="1" applyFill="1" applyBorder="1" applyAlignment="1">
      <alignment horizontal="center" vertical="center"/>
    </xf>
    <xf numFmtId="168" fontId="31" fillId="0" borderId="10" xfId="0" applyNumberFormat="1" applyFont="1" applyFill="1" applyBorder="1" applyAlignment="1">
      <alignment horizontal="center" vertical="center"/>
    </xf>
    <xf numFmtId="164" fontId="31" fillId="0" borderId="10" xfId="0" applyFont="1" applyFill="1" applyBorder="1" applyAlignment="1">
      <alignment horizontal="center" vertical="center"/>
    </xf>
    <xf numFmtId="164" fontId="31" fillId="0" borderId="10" xfId="0" applyFont="1" applyFill="1" applyBorder="1" applyAlignment="1">
      <alignment horizontal="right" vertical="center"/>
    </xf>
    <xf numFmtId="167" fontId="31" fillId="0" borderId="10" xfId="0" applyNumberFormat="1" applyFont="1" applyFill="1" applyBorder="1" applyAlignment="1">
      <alignment horizontal="center" vertical="center"/>
    </xf>
    <xf numFmtId="165" fontId="31" fillId="0" borderId="10" xfId="15" applyFont="1" applyFill="1" applyBorder="1" applyAlignment="1" applyProtection="1">
      <alignment horizontal="center" vertical="center"/>
      <protection/>
    </xf>
    <xf numFmtId="164" fontId="31" fillId="0" borderId="0" xfId="0" applyFont="1" applyFill="1" applyAlignment="1">
      <alignment vertical="center"/>
    </xf>
    <xf numFmtId="164" fontId="28" fillId="0" borderId="17" xfId="0" applyFont="1" applyFill="1" applyBorder="1" applyAlignment="1">
      <alignment horizontal="left" vertical="center" wrapText="1"/>
    </xf>
    <xf numFmtId="165" fontId="28" fillId="0" borderId="17" xfId="15" applyFont="1" applyFill="1" applyBorder="1" applyAlignment="1" applyProtection="1">
      <alignment horizontal="center" vertical="center"/>
      <protection/>
    </xf>
    <xf numFmtId="164" fontId="31" fillId="0" borderId="17" xfId="0" applyFont="1" applyFill="1" applyBorder="1" applyAlignment="1">
      <alignment horizontal="right" vertical="center" wrapText="1"/>
    </xf>
    <xf numFmtId="164" fontId="31" fillId="0" borderId="17" xfId="0" applyFont="1" applyFill="1" applyBorder="1" applyAlignment="1">
      <alignment horizontal="center" vertical="center"/>
    </xf>
    <xf numFmtId="167" fontId="31" fillId="0" borderId="17" xfId="0" applyNumberFormat="1" applyFont="1" applyFill="1" applyBorder="1" applyAlignment="1">
      <alignment horizontal="center" vertical="center"/>
    </xf>
    <xf numFmtId="165" fontId="31" fillId="0" borderId="17" xfId="15" applyFont="1" applyFill="1" applyBorder="1" applyAlignment="1" applyProtection="1">
      <alignment horizontal="center" vertical="center"/>
      <protection/>
    </xf>
    <xf numFmtId="164" fontId="31" fillId="0" borderId="10" xfId="0" applyFont="1" applyFill="1" applyBorder="1" applyAlignment="1">
      <alignment horizontal="right" vertical="center" wrapText="1"/>
    </xf>
    <xf numFmtId="165" fontId="31" fillId="0" borderId="20" xfId="15" applyFont="1" applyFill="1" applyBorder="1" applyAlignment="1" applyProtection="1">
      <alignment horizontal="center" vertical="center"/>
      <protection/>
    </xf>
    <xf numFmtId="170" fontId="31" fillId="0" borderId="17" xfId="0" applyNumberFormat="1" applyFont="1" applyFill="1" applyBorder="1" applyAlignment="1">
      <alignment horizontal="center" vertical="center"/>
    </xf>
    <xf numFmtId="165" fontId="39" fillId="0" borderId="10" xfId="15" applyFont="1" applyFill="1" applyBorder="1" applyAlignment="1" applyProtection="1">
      <alignment horizontal="center" vertical="center"/>
      <protection/>
    </xf>
    <xf numFmtId="168" fontId="0" fillId="0" borderId="10" xfId="0" applyNumberFormat="1" applyFont="1" applyFill="1" applyBorder="1" applyAlignment="1">
      <alignment horizontal="center" vertical="center"/>
    </xf>
    <xf numFmtId="164" fontId="40" fillId="0" borderId="17" xfId="0" applyFont="1" applyFill="1" applyBorder="1" applyAlignment="1">
      <alignment horizontal="center" vertical="center" wrapText="1"/>
    </xf>
    <xf numFmtId="164" fontId="39" fillId="0" borderId="17" xfId="0" applyFont="1" applyFill="1" applyBorder="1" applyAlignment="1">
      <alignment horizontal="center" vertical="center"/>
    </xf>
    <xf numFmtId="164" fontId="39" fillId="0" borderId="0" xfId="0" applyFont="1" applyFill="1" applyAlignment="1">
      <alignment vertical="center"/>
    </xf>
    <xf numFmtId="164" fontId="31" fillId="0" borderId="17" xfId="0" applyFont="1" applyFill="1" applyBorder="1" applyAlignment="1">
      <alignment horizontal="right" vertical="center"/>
    </xf>
    <xf numFmtId="164" fontId="41" fillId="0" borderId="17" xfId="0" applyFont="1" applyFill="1" applyBorder="1" applyAlignment="1">
      <alignment horizontal="center" vertical="center" wrapText="1"/>
    </xf>
    <xf numFmtId="164" fontId="0" fillId="0" borderId="17" xfId="0" applyFont="1" applyFill="1" applyBorder="1" applyAlignment="1">
      <alignment horizontal="right" vertical="center" wrapText="1"/>
    </xf>
    <xf numFmtId="167" fontId="0" fillId="0" borderId="17" xfId="0" applyNumberFormat="1" applyFont="1" applyFill="1" applyBorder="1" applyAlignment="1">
      <alignment horizontal="center" vertical="center"/>
    </xf>
    <xf numFmtId="165" fontId="0" fillId="0" borderId="17" xfId="15" applyFont="1" applyFill="1" applyBorder="1" applyAlignment="1" applyProtection="1">
      <alignment horizontal="center" vertical="center"/>
      <protection/>
    </xf>
    <xf numFmtId="165" fontId="0" fillId="0" borderId="10" xfId="15" applyFont="1" applyFill="1" applyBorder="1" applyAlignment="1" applyProtection="1">
      <alignment horizontal="center" vertical="center"/>
      <protection/>
    </xf>
    <xf numFmtId="168" fontId="31" fillId="0" borderId="13" xfId="0" applyNumberFormat="1" applyFont="1" applyFill="1" applyBorder="1" applyAlignment="1">
      <alignment horizontal="center" vertical="center"/>
    </xf>
    <xf numFmtId="164" fontId="31" fillId="0" borderId="13" xfId="0" applyFont="1" applyFill="1" applyBorder="1" applyAlignment="1">
      <alignment horizontal="center" vertical="center"/>
    </xf>
    <xf numFmtId="164" fontId="31" fillId="0" borderId="13" xfId="0" applyFont="1" applyFill="1" applyBorder="1" applyAlignment="1">
      <alignment horizontal="right" vertical="center" wrapText="1"/>
    </xf>
    <xf numFmtId="167" fontId="31" fillId="0" borderId="13" xfId="0" applyNumberFormat="1" applyFont="1" applyFill="1" applyBorder="1" applyAlignment="1">
      <alignment horizontal="center" vertical="center"/>
    </xf>
    <xf numFmtId="165" fontId="31" fillId="0" borderId="13" xfId="15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>
      <alignment horizontal="center" vertical="center"/>
    </xf>
    <xf numFmtId="164" fontId="18" fillId="0" borderId="0" xfId="0" applyFont="1" applyFill="1" applyBorder="1" applyAlignment="1">
      <alignment horizontal="center" vertical="center"/>
    </xf>
    <xf numFmtId="164" fontId="44" fillId="0" borderId="13" xfId="0" applyFont="1" applyFill="1" applyBorder="1" applyAlignment="1">
      <alignment horizontal="center" vertical="center"/>
    </xf>
    <xf numFmtId="164" fontId="44" fillId="0" borderId="17" xfId="0" applyFont="1" applyFill="1" applyBorder="1" applyAlignment="1">
      <alignment horizontal="center" vertical="center" wrapText="1"/>
    </xf>
    <xf numFmtId="164" fontId="40" fillId="0" borderId="10" xfId="0" applyFont="1" applyFill="1" applyBorder="1" applyAlignment="1">
      <alignment horizontal="center" vertical="center" wrapText="1"/>
    </xf>
    <xf numFmtId="168" fontId="31" fillId="0" borderId="10" xfId="0" applyNumberFormat="1" applyFont="1" applyFill="1" applyBorder="1" applyAlignment="1">
      <alignment horizontal="center" vertical="center" wrapText="1"/>
    </xf>
    <xf numFmtId="164" fontId="31" fillId="0" borderId="17" xfId="0" applyFont="1" applyFill="1" applyBorder="1" applyAlignment="1">
      <alignment horizontal="center" vertical="center" wrapText="1"/>
    </xf>
    <xf numFmtId="169" fontId="31" fillId="0" borderId="17" xfId="0" applyNumberFormat="1" applyFont="1" applyFill="1" applyBorder="1" applyAlignment="1">
      <alignment horizontal="center" vertical="center" wrapText="1"/>
    </xf>
    <xf numFmtId="165" fontId="31" fillId="0" borderId="10" xfId="15" applyFont="1" applyFill="1" applyBorder="1" applyAlignment="1" applyProtection="1">
      <alignment horizontal="center" vertical="center" wrapText="1"/>
      <protection/>
    </xf>
    <xf numFmtId="164" fontId="31" fillId="0" borderId="0" xfId="0" applyFont="1" applyFill="1" applyAlignment="1">
      <alignment vertical="center" wrapText="1"/>
    </xf>
    <xf numFmtId="165" fontId="31" fillId="0" borderId="17" xfId="15" applyFont="1" applyFill="1" applyBorder="1" applyAlignment="1" applyProtection="1">
      <alignment horizontal="center" vertical="center" wrapText="1"/>
      <protection/>
    </xf>
    <xf numFmtId="167" fontId="31" fillId="0" borderId="17" xfId="0" applyNumberFormat="1" applyFont="1" applyFill="1" applyBorder="1" applyAlignment="1">
      <alignment horizontal="center" vertical="center" wrapText="1"/>
    </xf>
    <xf numFmtId="164" fontId="45" fillId="0" borderId="17" xfId="0" applyFont="1" applyFill="1" applyBorder="1" applyAlignment="1">
      <alignment horizontal="center" vertical="center" wrapText="1"/>
    </xf>
    <xf numFmtId="164" fontId="28" fillId="0" borderId="10" xfId="0" applyFont="1" applyFill="1" applyBorder="1" applyAlignment="1">
      <alignment vertical="center" wrapText="1"/>
    </xf>
    <xf numFmtId="168" fontId="31" fillId="0" borderId="13" xfId="0" applyNumberFormat="1" applyFont="1" applyFill="1" applyBorder="1" applyAlignment="1">
      <alignment horizontal="center" vertical="center" wrapText="1"/>
    </xf>
    <xf numFmtId="164" fontId="31" fillId="0" borderId="13" xfId="0" applyFont="1" applyFill="1" applyBorder="1" applyAlignment="1">
      <alignment horizontal="center" vertical="center" wrapText="1"/>
    </xf>
    <xf numFmtId="165" fontId="31" fillId="0" borderId="13" xfId="15" applyFont="1" applyFill="1" applyBorder="1" applyAlignment="1" applyProtection="1">
      <alignment horizontal="center" vertical="center" wrapText="1"/>
      <protection/>
    </xf>
    <xf numFmtId="164" fontId="34" fillId="0" borderId="15" xfId="0" applyFont="1" applyFill="1" applyBorder="1" applyAlignment="1">
      <alignment horizontal="center" vertical="center"/>
    </xf>
    <xf numFmtId="164" fontId="18" fillId="0" borderId="0" xfId="0" applyFont="1" applyFill="1" applyAlignment="1">
      <alignment horizontal="center" vertical="center"/>
    </xf>
    <xf numFmtId="164" fontId="34" fillId="0" borderId="0" xfId="0" applyFont="1" applyFill="1" applyAlignment="1">
      <alignment vertical="center"/>
    </xf>
    <xf numFmtId="164" fontId="44" fillId="0" borderId="0" xfId="0" applyFont="1" applyFill="1" applyAlignment="1">
      <alignment vertical="center"/>
    </xf>
    <xf numFmtId="164" fontId="44" fillId="0" borderId="17" xfId="0" applyFont="1" applyFill="1" applyBorder="1" applyAlignment="1">
      <alignment horizontal="center" vertical="center"/>
    </xf>
    <xf numFmtId="164" fontId="40" fillId="0" borderId="17" xfId="0" applyFont="1" applyFill="1" applyBorder="1" applyAlignment="1">
      <alignment horizontal="center" vertical="center"/>
    </xf>
    <xf numFmtId="164" fontId="31" fillId="0" borderId="10" xfId="0" applyFont="1" applyFill="1" applyBorder="1" applyAlignment="1">
      <alignment vertical="center" wrapText="1"/>
    </xf>
    <xf numFmtId="164" fontId="41" fillId="0" borderId="10" xfId="0" applyFont="1" applyFill="1" applyBorder="1" applyAlignment="1">
      <alignment horizontal="center" vertical="center" wrapText="1"/>
    </xf>
    <xf numFmtId="164" fontId="0" fillId="0" borderId="10" xfId="0" applyFont="1" applyFill="1" applyBorder="1" applyAlignment="1">
      <alignment vertical="center" wrapText="1"/>
    </xf>
    <xf numFmtId="164" fontId="46" fillId="0" borderId="10" xfId="0" applyFont="1" applyFill="1" applyBorder="1" applyAlignment="1">
      <alignment horizontal="center" vertical="center" wrapText="1"/>
    </xf>
    <xf numFmtId="164" fontId="31" fillId="0" borderId="17" xfId="0" applyFont="1" applyFill="1" applyBorder="1" applyAlignment="1">
      <alignment vertical="center" wrapText="1"/>
    </xf>
    <xf numFmtId="165" fontId="31" fillId="0" borderId="17" xfId="15" applyFont="1" applyFill="1" applyBorder="1" applyAlignment="1" applyProtection="1">
      <alignment vertical="center" wrapText="1"/>
      <protection/>
    </xf>
    <xf numFmtId="164" fontId="28" fillId="0" borderId="0" xfId="0" applyFont="1" applyFill="1" applyBorder="1" applyAlignment="1">
      <alignment vertical="center"/>
    </xf>
    <xf numFmtId="164" fontId="31" fillId="0" borderId="0" xfId="0" applyFont="1" applyFill="1" applyBorder="1" applyAlignment="1">
      <alignment vertical="center"/>
    </xf>
    <xf numFmtId="164" fontId="0" fillId="0" borderId="17" xfId="0" applyFont="1" applyFill="1" applyBorder="1" applyAlignment="1">
      <alignment vertical="center" wrapText="1"/>
    </xf>
    <xf numFmtId="164" fontId="46" fillId="0" borderId="17" xfId="0" applyFont="1" applyFill="1" applyBorder="1" applyAlignment="1">
      <alignment horizontal="center" vertical="center" wrapText="1"/>
    </xf>
    <xf numFmtId="171" fontId="31" fillId="0" borderId="17" xfId="15" applyNumberFormat="1" applyFont="1" applyFill="1" applyBorder="1" applyAlignment="1" applyProtection="1">
      <alignment vertical="center" wrapText="1"/>
      <protection/>
    </xf>
    <xf numFmtId="164" fontId="31" fillId="0" borderId="10" xfId="0" applyFont="1" applyFill="1" applyBorder="1" applyAlignment="1">
      <alignment horizontal="center" vertical="center" wrapText="1"/>
    </xf>
    <xf numFmtId="167" fontId="31" fillId="0" borderId="10" xfId="0" applyNumberFormat="1" applyFont="1" applyFill="1" applyBorder="1" applyAlignment="1">
      <alignment horizontal="center" vertical="center" wrapText="1"/>
    </xf>
    <xf numFmtId="165" fontId="31" fillId="0" borderId="20" xfId="15" applyFont="1" applyFill="1" applyBorder="1" applyAlignment="1" applyProtection="1">
      <alignment horizontal="center" vertical="center" wrapText="1"/>
      <protection/>
    </xf>
    <xf numFmtId="165" fontId="31" fillId="0" borderId="17" xfId="0" applyNumberFormat="1" applyFont="1" applyFill="1" applyBorder="1" applyAlignment="1">
      <alignment vertical="center" wrapText="1"/>
    </xf>
    <xf numFmtId="171" fontId="31" fillId="0" borderId="17" xfId="0" applyNumberFormat="1" applyFont="1" applyFill="1" applyBorder="1" applyAlignment="1">
      <alignment vertical="center" wrapText="1"/>
    </xf>
    <xf numFmtId="167" fontId="28" fillId="0" borderId="17" xfId="0" applyNumberFormat="1" applyFont="1" applyFill="1" applyBorder="1" applyAlignment="1">
      <alignment horizontal="center" vertical="center" wrapText="1"/>
    </xf>
    <xf numFmtId="165" fontId="28" fillId="0" borderId="17" xfId="15" applyFont="1" applyFill="1" applyBorder="1" applyAlignment="1" applyProtection="1">
      <alignment horizontal="center" vertical="center" wrapText="1"/>
      <protection/>
    </xf>
    <xf numFmtId="164" fontId="28" fillId="0" borderId="18" xfId="0" applyFont="1" applyFill="1" applyBorder="1" applyAlignment="1">
      <alignment vertical="center"/>
    </xf>
    <xf numFmtId="164" fontId="28" fillId="0" borderId="22" xfId="0" applyFont="1" applyFill="1" applyBorder="1" applyAlignment="1">
      <alignment horizontal="left" vertical="center" wrapText="1" shrinkToFit="1"/>
    </xf>
    <xf numFmtId="164" fontId="28" fillId="0" borderId="17" xfId="0" applyFont="1" applyFill="1" applyBorder="1" applyAlignment="1">
      <alignment vertical="center"/>
    </xf>
    <xf numFmtId="164" fontId="31" fillId="0" borderId="17" xfId="0" applyFont="1" applyFill="1" applyBorder="1" applyAlignment="1">
      <alignment vertical="center"/>
    </xf>
    <xf numFmtId="164" fontId="31" fillId="0" borderId="10" xfId="0" applyFont="1" applyFill="1" applyBorder="1" applyAlignment="1">
      <alignment horizontal="right" vertical="center" wrapText="1" shrinkToFit="1"/>
    </xf>
    <xf numFmtId="164" fontId="40" fillId="0" borderId="10" xfId="0" applyFont="1" applyFill="1" applyBorder="1" applyAlignment="1">
      <alignment horizontal="center" vertical="center" wrapText="1" shrinkToFit="1"/>
    </xf>
    <xf numFmtId="164" fontId="0" fillId="0" borderId="17" xfId="0" applyFont="1" applyFill="1" applyBorder="1" applyAlignment="1">
      <alignment vertical="center"/>
    </xf>
    <xf numFmtId="164" fontId="28" fillId="0" borderId="10" xfId="0" applyFont="1" applyFill="1" applyBorder="1" applyAlignment="1">
      <alignment vertical="center"/>
    </xf>
    <xf numFmtId="164" fontId="28" fillId="0" borderId="20" xfId="0" applyFont="1" applyFill="1" applyBorder="1" applyAlignment="1">
      <alignment horizontal="center" vertical="center" wrapText="1"/>
    </xf>
    <xf numFmtId="164" fontId="28" fillId="0" borderId="20" xfId="0" applyFont="1" applyFill="1" applyBorder="1" applyAlignment="1">
      <alignment horizontal="left" vertical="center" wrapText="1"/>
    </xf>
    <xf numFmtId="167" fontId="31" fillId="0" borderId="13" xfId="0" applyNumberFormat="1" applyFont="1" applyFill="1" applyBorder="1" applyAlignment="1">
      <alignment horizontal="center" vertical="center" wrapText="1"/>
    </xf>
    <xf numFmtId="164" fontId="0" fillId="0" borderId="0" xfId="0" applyFont="1" applyFill="1" applyAlignment="1">
      <alignment/>
    </xf>
    <xf numFmtId="164" fontId="34" fillId="0" borderId="15" xfId="0" applyFont="1" applyFill="1" applyBorder="1" applyAlignment="1">
      <alignment/>
    </xf>
    <xf numFmtId="164" fontId="18" fillId="0" borderId="16" xfId="0" applyFont="1" applyFill="1" applyBorder="1" applyAlignment="1">
      <alignment/>
    </xf>
    <xf numFmtId="164" fontId="18" fillId="0" borderId="0" xfId="0" applyFont="1" applyFill="1" applyBorder="1" applyAlignment="1">
      <alignment horizontal="center"/>
    </xf>
    <xf numFmtId="164" fontId="0" fillId="0" borderId="0" xfId="0" applyFont="1" applyFill="1" applyAlignment="1">
      <alignment horizontal="left"/>
    </xf>
    <xf numFmtId="164" fontId="28" fillId="0" borderId="0" xfId="0" applyFont="1" applyFill="1" applyAlignment="1">
      <alignment/>
    </xf>
    <xf numFmtId="166" fontId="28" fillId="0" borderId="0" xfId="0" applyNumberFormat="1" applyFont="1" applyFill="1" applyAlignment="1">
      <alignment/>
    </xf>
    <xf numFmtId="164" fontId="28" fillId="0" borderId="0" xfId="0" applyFont="1" applyFill="1" applyBorder="1" applyAlignment="1">
      <alignment horizontal="center"/>
    </xf>
    <xf numFmtId="164" fontId="0" fillId="0" borderId="10" xfId="0" applyFont="1" applyFill="1" applyBorder="1" applyAlignment="1">
      <alignment horizontal="center"/>
    </xf>
    <xf numFmtId="164" fontId="35" fillId="0" borderId="10" xfId="0" applyFont="1" applyFill="1" applyBorder="1" applyAlignment="1">
      <alignment horizontal="center" vertical="center" wrapText="1"/>
    </xf>
    <xf numFmtId="167" fontId="0" fillId="0" borderId="10" xfId="0" applyNumberFormat="1" applyFont="1" applyFill="1" applyBorder="1" applyAlignment="1">
      <alignment horizontal="center" vertical="center"/>
    </xf>
    <xf numFmtId="164" fontId="35" fillId="0" borderId="17" xfId="0" applyFont="1" applyFill="1" applyBorder="1" applyAlignment="1">
      <alignment horizontal="center" vertical="center" wrapText="1"/>
    </xf>
    <xf numFmtId="164" fontId="28" fillId="0" borderId="20" xfId="0" applyFont="1" applyFill="1" applyBorder="1" applyAlignment="1">
      <alignment horizontal="center" vertical="center"/>
    </xf>
    <xf numFmtId="167" fontId="28" fillId="0" borderId="20" xfId="0" applyNumberFormat="1" applyFont="1" applyFill="1" applyBorder="1" applyAlignment="1">
      <alignment horizontal="center" vertical="center"/>
    </xf>
    <xf numFmtId="165" fontId="28" fillId="0" borderId="20" xfId="15" applyFont="1" applyFill="1" applyBorder="1" applyAlignment="1" applyProtection="1">
      <alignment horizontal="center" vertical="center"/>
      <protection/>
    </xf>
    <xf numFmtId="164" fontId="31" fillId="0" borderId="20" xfId="0" applyFont="1" applyFill="1" applyBorder="1" applyAlignment="1">
      <alignment horizontal="center" vertical="center"/>
    </xf>
    <xf numFmtId="164" fontId="31" fillId="0" borderId="20" xfId="0" applyFont="1" applyFill="1" applyBorder="1" applyAlignment="1">
      <alignment horizontal="right" vertical="center" wrapText="1"/>
    </xf>
    <xf numFmtId="167" fontId="31" fillId="0" borderId="20" xfId="0" applyNumberFormat="1" applyFont="1" applyFill="1" applyBorder="1" applyAlignment="1">
      <alignment horizontal="center" vertical="center"/>
    </xf>
    <xf numFmtId="164" fontId="48" fillId="0" borderId="10" xfId="0" applyFont="1" applyFill="1" applyBorder="1" applyAlignment="1">
      <alignment horizontal="center" vertical="center" wrapText="1"/>
    </xf>
    <xf numFmtId="164" fontId="48" fillId="0" borderId="10" xfId="0" applyFont="1" applyFill="1" applyBorder="1" applyAlignment="1">
      <alignment horizontal="center" vertical="center" textRotation="90" wrapText="1"/>
    </xf>
    <xf numFmtId="164" fontId="48" fillId="0" borderId="10" xfId="0" applyFont="1" applyFill="1" applyBorder="1" applyAlignment="1">
      <alignment horizontal="center" vertical="center"/>
    </xf>
    <xf numFmtId="164" fontId="48" fillId="0" borderId="0" xfId="0" applyFont="1" applyFill="1" applyAlignment="1">
      <alignment vertical="center"/>
    </xf>
    <xf numFmtId="164" fontId="37" fillId="0" borderId="10" xfId="0" applyFont="1" applyFill="1" applyBorder="1" applyAlignment="1">
      <alignment horizontal="center" vertical="center" wrapText="1"/>
    </xf>
    <xf numFmtId="164" fontId="39" fillId="0" borderId="10" xfId="0" applyFont="1" applyFill="1" applyBorder="1" applyAlignment="1">
      <alignment horizontal="center" vertical="center"/>
    </xf>
    <xf numFmtId="164" fontId="39" fillId="0" borderId="0" xfId="0" applyFont="1" applyFill="1" applyBorder="1" applyAlignment="1">
      <alignment vertical="center"/>
    </xf>
    <xf numFmtId="164" fontId="46" fillId="0" borderId="10" xfId="0" applyFont="1" applyFill="1" applyBorder="1" applyAlignment="1">
      <alignment horizontal="center" vertical="center"/>
    </xf>
    <xf numFmtId="169" fontId="31" fillId="0" borderId="10" xfId="0" applyNumberFormat="1" applyFont="1" applyFill="1" applyBorder="1" applyAlignment="1">
      <alignment horizontal="center" vertical="center"/>
    </xf>
    <xf numFmtId="164" fontId="31" fillId="0" borderId="13" xfId="0" applyFont="1" applyFill="1" applyBorder="1" applyAlignment="1">
      <alignment horizontal="right" vertical="center"/>
    </xf>
    <xf numFmtId="169" fontId="31" fillId="0" borderId="13" xfId="0" applyNumberFormat="1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49" fillId="0" borderId="17" xfId="0" applyFont="1" applyFill="1" applyBorder="1" applyAlignment="1">
      <alignment horizontal="center" vertical="center" wrapText="1"/>
    </xf>
    <xf numFmtId="164" fontId="44" fillId="0" borderId="0" xfId="0" applyFont="1" applyFill="1" applyAlignment="1">
      <alignment vertical="center" wrapText="1"/>
    </xf>
    <xf numFmtId="164" fontId="50" fillId="0" borderId="17" xfId="0" applyFont="1" applyFill="1" applyBorder="1" applyAlignment="1">
      <alignment horizontal="center" vertical="center" wrapText="1"/>
    </xf>
    <xf numFmtId="164" fontId="51" fillId="0" borderId="17" xfId="0" applyFont="1" applyFill="1" applyBorder="1" applyAlignment="1">
      <alignment horizontal="left" vertical="center" wrapText="1"/>
    </xf>
    <xf numFmtId="164" fontId="51" fillId="0" borderId="17" xfId="0" applyFont="1" applyFill="1" applyBorder="1" applyAlignment="1">
      <alignment horizontal="center" vertical="center" wrapText="1"/>
    </xf>
    <xf numFmtId="164" fontId="50" fillId="0" borderId="0" xfId="0" applyFont="1" applyFill="1" applyBorder="1" applyAlignment="1">
      <alignment horizontal="center" vertical="center" wrapText="1"/>
    </xf>
    <xf numFmtId="164" fontId="52" fillId="0" borderId="0" xfId="0" applyFont="1" applyFill="1" applyBorder="1" applyAlignment="1">
      <alignment horizontal="right" vertical="center" wrapText="1"/>
    </xf>
    <xf numFmtId="164" fontId="52" fillId="0" borderId="0" xfId="0" applyFont="1" applyFill="1" applyBorder="1" applyAlignment="1">
      <alignment horizontal="center" vertical="center" wrapText="1"/>
    </xf>
    <xf numFmtId="168" fontId="31" fillId="0" borderId="0" xfId="0" applyNumberFormat="1" applyFont="1" applyFill="1" applyBorder="1" applyAlignment="1">
      <alignment horizontal="center" vertical="center" wrapText="1"/>
    </xf>
    <xf numFmtId="164" fontId="51" fillId="0" borderId="10" xfId="0" applyFont="1" applyFill="1" applyBorder="1" applyAlignment="1">
      <alignment horizontal="center" vertical="center" wrapText="1"/>
    </xf>
    <xf numFmtId="164" fontId="45" fillId="0" borderId="0" xfId="0" applyFont="1" applyFill="1" applyAlignment="1">
      <alignment vertical="center" wrapText="1"/>
    </xf>
    <xf numFmtId="164" fontId="52" fillId="0" borderId="10" xfId="0" applyFont="1" applyFill="1" applyBorder="1" applyAlignment="1">
      <alignment horizontal="center" vertical="center" wrapText="1"/>
    </xf>
    <xf numFmtId="164" fontId="50" fillId="0" borderId="0" xfId="0" applyFont="1" applyFill="1" applyAlignment="1">
      <alignment vertical="center" wrapText="1"/>
    </xf>
    <xf numFmtId="165" fontId="31" fillId="0" borderId="10" xfId="15" applyFont="1" applyFill="1" applyBorder="1" applyAlignment="1" applyProtection="1">
      <alignment vertical="center" wrapText="1"/>
      <protection/>
    </xf>
    <xf numFmtId="164" fontId="45" fillId="0" borderId="10" xfId="0" applyFont="1" applyFill="1" applyBorder="1" applyAlignment="1">
      <alignment horizontal="center" vertical="center" wrapText="1"/>
    </xf>
    <xf numFmtId="164" fontId="52" fillId="0" borderId="10" xfId="0" applyFont="1" applyFill="1" applyBorder="1" applyAlignment="1">
      <alignment horizontal="center"/>
    </xf>
    <xf numFmtId="165" fontId="31" fillId="0" borderId="10" xfId="15" applyFont="1" applyFill="1" applyBorder="1" applyAlignment="1" applyProtection="1">
      <alignment horizontal="right" vertical="center" wrapText="1"/>
      <protection/>
    </xf>
    <xf numFmtId="164" fontId="31" fillId="0" borderId="0" xfId="0" applyFont="1" applyFill="1" applyAlignment="1">
      <alignment horizontal="right" vertical="center" wrapText="1"/>
    </xf>
    <xf numFmtId="164" fontId="52" fillId="0" borderId="10" xfId="0" applyFont="1" applyFill="1" applyBorder="1" applyAlignment="1">
      <alignment horizontal="right"/>
    </xf>
    <xf numFmtId="164" fontId="50" fillId="0" borderId="10" xfId="0" applyFont="1" applyFill="1" applyBorder="1" applyAlignment="1">
      <alignment horizontal="center" vertical="center" wrapText="1"/>
    </xf>
    <xf numFmtId="164" fontId="52" fillId="0" borderId="10" xfId="0" applyFont="1" applyFill="1" applyBorder="1" applyAlignment="1">
      <alignment horizontal="right" vertical="center" wrapText="1"/>
    </xf>
    <xf numFmtId="164" fontId="52" fillId="0" borderId="17" xfId="0" applyFont="1" applyFill="1" applyBorder="1" applyAlignment="1">
      <alignment horizontal="right" vertical="center" wrapText="1"/>
    </xf>
    <xf numFmtId="164" fontId="52" fillId="0" borderId="17" xfId="0" applyFont="1" applyFill="1" applyBorder="1" applyAlignment="1">
      <alignment horizontal="center" vertical="center" wrapText="1"/>
    </xf>
    <xf numFmtId="164" fontId="51" fillId="0" borderId="17" xfId="0" applyFont="1" applyFill="1" applyBorder="1" applyAlignment="1">
      <alignment vertical="center" wrapText="1"/>
    </xf>
    <xf numFmtId="164" fontId="53" fillId="0" borderId="17" xfId="0" applyFont="1" applyFill="1" applyBorder="1" applyAlignment="1">
      <alignment horizontal="center" vertical="center" wrapText="1"/>
    </xf>
    <xf numFmtId="164" fontId="50" fillId="0" borderId="13" xfId="0" applyFont="1" applyFill="1" applyBorder="1" applyAlignment="1">
      <alignment horizontal="center" vertical="center" wrapText="1"/>
    </xf>
    <xf numFmtId="164" fontId="52" fillId="0" borderId="13" xfId="0" applyFont="1" applyFill="1" applyBorder="1" applyAlignment="1">
      <alignment horizontal="center" vertical="center" wrapText="1"/>
    </xf>
    <xf numFmtId="164" fontId="18" fillId="0" borderId="0" xfId="0" applyFont="1" applyFill="1" applyBorder="1" applyAlignment="1">
      <alignment vertical="center"/>
    </xf>
    <xf numFmtId="169" fontId="0" fillId="0" borderId="10" xfId="0" applyNumberFormat="1" applyFont="1" applyFill="1" applyBorder="1" applyAlignment="1">
      <alignment horizontal="center" vertical="center" wrapText="1"/>
    </xf>
    <xf numFmtId="169" fontId="31" fillId="0" borderId="10" xfId="0" applyNumberFormat="1" applyFont="1" applyFill="1" applyBorder="1" applyAlignment="1">
      <alignment horizontal="center" vertical="center" wrapText="1"/>
    </xf>
    <xf numFmtId="171" fontId="31" fillId="0" borderId="10" xfId="15" applyNumberFormat="1" applyFont="1" applyFill="1" applyBorder="1" applyAlignment="1" applyProtection="1">
      <alignment horizontal="center" vertical="center" wrapText="1"/>
      <protection/>
    </xf>
    <xf numFmtId="164" fontId="46" fillId="0" borderId="13" xfId="0" applyFont="1" applyFill="1" applyBorder="1" applyAlignment="1">
      <alignment horizontal="center" vertical="center"/>
    </xf>
    <xf numFmtId="169" fontId="0" fillId="0" borderId="13" xfId="0" applyNumberFormat="1" applyFont="1" applyFill="1" applyBorder="1" applyAlignment="1">
      <alignment horizontal="center" vertical="center" wrapText="1"/>
    </xf>
    <xf numFmtId="164" fontId="28" fillId="0" borderId="13" xfId="0" applyFont="1" applyFill="1" applyBorder="1" applyAlignment="1">
      <alignment horizontal="center" vertical="center"/>
    </xf>
    <xf numFmtId="167" fontId="28" fillId="0" borderId="13" xfId="0" applyNumberFormat="1" applyFont="1" applyFill="1" applyBorder="1" applyAlignment="1">
      <alignment horizontal="center" vertical="center"/>
    </xf>
    <xf numFmtId="165" fontId="28" fillId="0" borderId="13" xfId="15" applyFont="1" applyFill="1" applyBorder="1" applyAlignment="1" applyProtection="1">
      <alignment horizontal="center" vertical="center"/>
      <protection/>
    </xf>
    <xf numFmtId="164" fontId="46" fillId="0" borderId="21" xfId="0" applyFont="1" applyFill="1" applyBorder="1" applyAlignment="1">
      <alignment horizontal="center" vertical="center"/>
    </xf>
    <xf numFmtId="164" fontId="28" fillId="0" borderId="21" xfId="0" applyFont="1" applyFill="1" applyBorder="1" applyAlignment="1">
      <alignment horizontal="center" vertical="center"/>
    </xf>
    <xf numFmtId="169" fontId="0" fillId="0" borderId="21" xfId="0" applyNumberFormat="1" applyFont="1" applyFill="1" applyBorder="1" applyAlignment="1">
      <alignment horizontal="center" vertical="center"/>
    </xf>
    <xf numFmtId="169" fontId="28" fillId="0" borderId="13" xfId="0" applyNumberFormat="1" applyFont="1" applyFill="1" applyBorder="1" applyAlignment="1">
      <alignment horizontal="center" vertical="center" wrapText="1"/>
    </xf>
    <xf numFmtId="164" fontId="54" fillId="0" borderId="0" xfId="0" applyFont="1" applyFill="1" applyAlignment="1">
      <alignment/>
    </xf>
    <xf numFmtId="164" fontId="51" fillId="0" borderId="10" xfId="0" applyFont="1" applyFill="1" applyBorder="1" applyAlignment="1">
      <alignment horizontal="center" vertical="center"/>
    </xf>
    <xf numFmtId="164" fontId="45" fillId="0" borderId="0" xfId="0" applyFont="1" applyFill="1" applyBorder="1" applyAlignment="1">
      <alignment vertical="center" wrapText="1"/>
    </xf>
    <xf numFmtId="164" fontId="44" fillId="0" borderId="0" xfId="0" applyFont="1" applyFill="1" applyBorder="1" applyAlignment="1">
      <alignment horizontal="center"/>
    </xf>
    <xf numFmtId="164" fontId="51" fillId="0" borderId="10" xfId="0" applyFont="1" applyFill="1" applyBorder="1" applyAlignment="1">
      <alignment vertical="center" wrapText="1"/>
    </xf>
    <xf numFmtId="164" fontId="51" fillId="0" borderId="10" xfId="0" applyFont="1" applyFill="1" applyBorder="1" applyAlignment="1">
      <alignment horizontal="left" vertical="center" wrapText="1"/>
    </xf>
    <xf numFmtId="164" fontId="55" fillId="0" borderId="10" xfId="0" applyFont="1" applyFill="1" applyBorder="1" applyAlignment="1">
      <alignment horizontal="center" vertical="center" wrapText="1"/>
    </xf>
    <xf numFmtId="164" fontId="55" fillId="0" borderId="0" xfId="0" applyFont="1" applyFill="1" applyBorder="1" applyAlignment="1">
      <alignment vertical="center" wrapText="1"/>
    </xf>
    <xf numFmtId="164" fontId="55" fillId="0" borderId="0" xfId="0" applyFont="1" applyFill="1" applyAlignment="1">
      <alignment vertical="center" wrapText="1"/>
    </xf>
    <xf numFmtId="164" fontId="44" fillId="0" borderId="21" xfId="0" applyFont="1" applyFill="1" applyBorder="1" applyAlignment="1">
      <alignment horizontal="center" vertical="center"/>
    </xf>
    <xf numFmtId="164" fontId="0" fillId="0" borderId="21" xfId="0" applyFont="1" applyFill="1" applyBorder="1" applyAlignment="1">
      <alignment horizontal="center" vertical="center" wrapText="1"/>
    </xf>
    <xf numFmtId="168" fontId="44" fillId="0" borderId="17" xfId="0" applyNumberFormat="1" applyFont="1" applyFill="1" applyBorder="1" applyAlignment="1">
      <alignment horizontal="center" vertical="center" wrapText="1"/>
    </xf>
    <xf numFmtId="164" fontId="44" fillId="0" borderId="21" xfId="0" applyFont="1" applyFill="1" applyBorder="1" applyAlignment="1">
      <alignment horizontal="center" vertical="center" wrapText="1"/>
    </xf>
    <xf numFmtId="164" fontId="56" fillId="0" borderId="21" xfId="0" applyFont="1" applyFill="1" applyBorder="1" applyAlignment="1">
      <alignment horizontal="center" vertical="center" wrapText="1"/>
    </xf>
    <xf numFmtId="168" fontId="28" fillId="0" borderId="17" xfId="0" applyNumberFormat="1" applyFont="1" applyFill="1" applyBorder="1" applyAlignment="1">
      <alignment horizontal="center" vertical="center" wrapText="1"/>
    </xf>
    <xf numFmtId="164" fontId="57" fillId="0" borderId="10" xfId="0" applyFont="1" applyFill="1" applyBorder="1" applyAlignment="1">
      <alignment vertical="center" wrapText="1"/>
    </xf>
    <xf numFmtId="164" fontId="57" fillId="0" borderId="10" xfId="0" applyFont="1" applyFill="1" applyBorder="1" applyAlignment="1">
      <alignment horizontal="center" vertical="center" wrapText="1"/>
    </xf>
    <xf numFmtId="168" fontId="31" fillId="0" borderId="17" xfId="0" applyNumberFormat="1" applyFont="1" applyFill="1" applyBorder="1" applyAlignment="1">
      <alignment horizontal="center" vertical="center" wrapText="1"/>
    </xf>
    <xf numFmtId="164" fontId="31" fillId="0" borderId="10" xfId="52" applyFont="1" applyFill="1" applyBorder="1" applyAlignment="1">
      <alignment horizontal="right" vertical="center" wrapText="1"/>
      <protection/>
    </xf>
    <xf numFmtId="164" fontId="31" fillId="0" borderId="10" xfId="52" applyFont="1" applyFill="1" applyBorder="1" applyAlignment="1">
      <alignment horizontal="center" vertical="center" wrapText="1"/>
      <protection/>
    </xf>
    <xf numFmtId="168" fontId="28" fillId="0" borderId="10" xfId="52" applyNumberFormat="1" applyFont="1" applyFill="1" applyBorder="1" applyAlignment="1">
      <alignment horizontal="left" vertical="center" wrapText="1"/>
      <protection/>
    </xf>
    <xf numFmtId="164" fontId="28" fillId="0" borderId="10" xfId="52" applyFont="1" applyFill="1" applyBorder="1" applyAlignment="1">
      <alignment horizontal="center" vertical="center"/>
      <protection/>
    </xf>
    <xf numFmtId="164" fontId="31" fillId="0" borderId="22" xfId="52" applyFont="1" applyFill="1" applyBorder="1" applyAlignment="1">
      <alignment horizontal="center" vertical="center" wrapText="1"/>
      <protection/>
    </xf>
    <xf numFmtId="167" fontId="31" fillId="0" borderId="10" xfId="52" applyNumberFormat="1" applyFont="1" applyFill="1" applyBorder="1" applyAlignment="1">
      <alignment horizontal="center" vertical="center" wrapText="1"/>
      <protection/>
    </xf>
    <xf numFmtId="164" fontId="58" fillId="0" borderId="10" xfId="0" applyFont="1" applyFill="1" applyBorder="1" applyAlignment="1">
      <alignment horizontal="center" vertical="center" wrapText="1"/>
    </xf>
    <xf numFmtId="164" fontId="28" fillId="0" borderId="10" xfId="52" applyFont="1" applyFill="1" applyBorder="1" applyAlignment="1">
      <alignment horizontal="center" vertical="center" wrapText="1"/>
      <protection/>
    </xf>
    <xf numFmtId="167" fontId="28" fillId="0" borderId="10" xfId="52" applyNumberFormat="1" applyFont="1" applyFill="1" applyBorder="1" applyAlignment="1">
      <alignment horizontal="center" vertical="center" wrapText="1"/>
      <protection/>
    </xf>
    <xf numFmtId="164" fontId="50" fillId="0" borderId="0" xfId="0" applyFont="1" applyFill="1" applyAlignment="1">
      <alignment horizontal="center" vertical="center" wrapText="1"/>
    </xf>
    <xf numFmtId="164" fontId="28" fillId="0" borderId="10" xfId="52" applyFont="1" applyFill="1" applyBorder="1" applyAlignment="1">
      <alignment vertical="center"/>
      <protection/>
    </xf>
    <xf numFmtId="169" fontId="28" fillId="0" borderId="10" xfId="0" applyNumberFormat="1" applyFont="1" applyFill="1" applyBorder="1" applyAlignment="1">
      <alignment horizontal="center" vertical="center"/>
    </xf>
    <xf numFmtId="170" fontId="58" fillId="0" borderId="10" xfId="0" applyNumberFormat="1" applyFont="1" applyFill="1" applyBorder="1" applyAlignment="1">
      <alignment horizontal="center" vertical="center" wrapText="1"/>
    </xf>
    <xf numFmtId="164" fontId="28" fillId="0" borderId="10" xfId="52" applyFont="1" applyFill="1" applyBorder="1" applyAlignment="1">
      <alignment vertical="center" wrapText="1"/>
      <protection/>
    </xf>
    <xf numFmtId="165" fontId="41" fillId="0" borderId="10" xfId="15" applyFont="1" applyFill="1" applyBorder="1" applyAlignment="1" applyProtection="1">
      <alignment horizontal="center" vertical="center" wrapText="1"/>
      <protection/>
    </xf>
    <xf numFmtId="164" fontId="58" fillId="0" borderId="10" xfId="0" applyFont="1" applyFill="1" applyBorder="1" applyAlignment="1">
      <alignment horizontal="right" vertical="center" wrapText="1"/>
    </xf>
    <xf numFmtId="170" fontId="31" fillId="0" borderId="10" xfId="52" applyNumberFormat="1" applyFont="1" applyFill="1" applyBorder="1" applyAlignment="1">
      <alignment horizontal="center" vertical="center" wrapText="1"/>
      <protection/>
    </xf>
    <xf numFmtId="164" fontId="28" fillId="0" borderId="10" xfId="52" applyFont="1" applyFill="1" applyBorder="1" applyAlignment="1">
      <alignment horizontal="left" vertical="center" wrapText="1"/>
      <protection/>
    </xf>
    <xf numFmtId="164" fontId="44" fillId="0" borderId="10" xfId="0" applyFont="1" applyFill="1" applyBorder="1" applyAlignment="1">
      <alignment horizontal="center" vertical="center" wrapText="1"/>
    </xf>
    <xf numFmtId="164" fontId="18" fillId="0" borderId="10" xfId="52" applyFont="1" applyFill="1" applyBorder="1" applyAlignment="1">
      <alignment/>
      <protection/>
    </xf>
    <xf numFmtId="165" fontId="18" fillId="0" borderId="10" xfId="15" applyFont="1" applyFill="1" applyBorder="1" applyAlignment="1" applyProtection="1">
      <alignment/>
      <protection/>
    </xf>
    <xf numFmtId="165" fontId="44" fillId="0" borderId="10" xfId="15" applyFont="1" applyFill="1" applyBorder="1" applyAlignment="1" applyProtection="1">
      <alignment horizontal="center" vertical="center" wrapText="1"/>
      <protection/>
    </xf>
    <xf numFmtId="164" fontId="57" fillId="0" borderId="10" xfId="0" applyFont="1" applyFill="1" applyBorder="1" applyAlignment="1">
      <alignment horizontal="left" vertical="center" wrapText="1"/>
    </xf>
    <xf numFmtId="164" fontId="31" fillId="0" borderId="20" xfId="52" applyFont="1" applyFill="1" applyBorder="1" applyAlignment="1">
      <alignment horizontal="right" vertical="center" wrapText="1"/>
      <protection/>
    </xf>
    <xf numFmtId="164" fontId="62" fillId="0" borderId="10" xfId="0" applyFont="1" applyFill="1" applyBorder="1" applyAlignment="1">
      <alignment horizontal="center" vertical="center" wrapText="1"/>
    </xf>
    <xf numFmtId="164" fontId="56" fillId="0" borderId="10" xfId="0" applyFont="1" applyFill="1" applyBorder="1" applyAlignment="1">
      <alignment horizontal="center" vertical="center" wrapText="1"/>
    </xf>
    <xf numFmtId="171" fontId="28" fillId="0" borderId="10" xfId="0" applyNumberFormat="1" applyFont="1" applyFill="1" applyBorder="1" applyAlignment="1">
      <alignment horizontal="center" vertical="center" wrapText="1"/>
    </xf>
    <xf numFmtId="164" fontId="28" fillId="0" borderId="13" xfId="52" applyFont="1" applyFill="1" applyBorder="1" applyAlignment="1">
      <alignment vertical="center" wrapText="1"/>
      <protection/>
    </xf>
    <xf numFmtId="164" fontId="28" fillId="0" borderId="13" xfId="52" applyFont="1" applyFill="1" applyBorder="1" applyAlignment="1">
      <alignment horizontal="center" vertical="center" wrapText="1"/>
      <protection/>
    </xf>
    <xf numFmtId="164" fontId="44" fillId="0" borderId="23" xfId="0" applyFont="1" applyFill="1" applyBorder="1" applyAlignment="1">
      <alignment horizontal="center" vertical="center" wrapText="1"/>
    </xf>
    <xf numFmtId="164" fontId="56" fillId="0" borderId="17" xfId="0" applyFont="1" applyFill="1" applyBorder="1" applyAlignment="1">
      <alignment horizontal="center" vertical="center" wrapText="1"/>
    </xf>
    <xf numFmtId="164" fontId="63" fillId="0" borderId="17" xfId="52" applyFont="1" applyFill="1" applyBorder="1" applyAlignment="1">
      <alignment/>
      <protection/>
    </xf>
    <xf numFmtId="164" fontId="44" fillId="0" borderId="18" xfId="0" applyFont="1" applyFill="1" applyBorder="1" applyAlignment="1">
      <alignment horizontal="center" vertical="center" wrapText="1"/>
    </xf>
    <xf numFmtId="164" fontId="31" fillId="0" borderId="23" xfId="0" applyFont="1" applyFill="1" applyBorder="1" applyAlignment="1">
      <alignment horizontal="center" vertical="center" wrapText="1"/>
    </xf>
    <xf numFmtId="164" fontId="31" fillId="0" borderId="17" xfId="52" applyFont="1" applyFill="1" applyBorder="1" applyAlignment="1">
      <alignment horizontal="center" vertical="center" wrapText="1"/>
      <protection/>
    </xf>
    <xf numFmtId="164" fontId="31" fillId="0" borderId="19" xfId="0" applyFont="1" applyFill="1" applyBorder="1" applyAlignment="1">
      <alignment horizontal="center" vertical="center"/>
    </xf>
    <xf numFmtId="168" fontId="31" fillId="0" borderId="0" xfId="0" applyNumberFormat="1" applyFont="1" applyFill="1" applyBorder="1" applyAlignment="1">
      <alignment horizontal="center" vertical="center"/>
    </xf>
    <xf numFmtId="164" fontId="31" fillId="0" borderId="0" xfId="0" applyFont="1" applyFill="1" applyBorder="1" applyAlignment="1">
      <alignment horizontal="center" vertical="center"/>
    </xf>
    <xf numFmtId="164" fontId="31" fillId="0" borderId="0" xfId="0" applyFont="1" applyFill="1" applyBorder="1" applyAlignment="1">
      <alignment horizontal="right" vertical="center" wrapText="1"/>
    </xf>
    <xf numFmtId="167" fontId="31" fillId="0" borderId="0" xfId="0" applyNumberFormat="1" applyFont="1" applyFill="1" applyBorder="1" applyAlignment="1">
      <alignment horizontal="center" vertical="center"/>
    </xf>
    <xf numFmtId="165" fontId="31" fillId="0" borderId="0" xfId="15" applyFont="1" applyFill="1" applyBorder="1" applyAlignment="1" applyProtection="1">
      <alignment horizontal="center" vertical="center"/>
      <protection/>
    </xf>
    <xf numFmtId="164" fontId="18" fillId="0" borderId="16" xfId="0" applyFont="1" applyFill="1" applyBorder="1" applyAlignment="1">
      <alignment horizontal="center" vertical="center"/>
    </xf>
    <xf numFmtId="164" fontId="18" fillId="0" borderId="10" xfId="52" applyFont="1" applyFill="1" applyBorder="1" applyAlignment="1">
      <alignment vertical="center" wrapText="1"/>
      <protection/>
    </xf>
    <xf numFmtId="165" fontId="28" fillId="0" borderId="10" xfId="15" applyFont="1" applyFill="1" applyBorder="1" applyAlignment="1" applyProtection="1">
      <alignment vertical="center" wrapText="1"/>
      <protection/>
    </xf>
    <xf numFmtId="164" fontId="64" fillId="0" borderId="10" xfId="0" applyFont="1" applyFill="1" applyBorder="1" applyAlignment="1">
      <alignment horizontal="right" vertical="center" wrapText="1"/>
    </xf>
    <xf numFmtId="164" fontId="64" fillId="0" borderId="10" xfId="0" applyFont="1" applyFill="1" applyBorder="1" applyAlignment="1">
      <alignment horizontal="center" vertical="center" wrapText="1"/>
    </xf>
    <xf numFmtId="164" fontId="31" fillId="0" borderId="10" xfId="0" applyNumberFormat="1" applyFont="1" applyFill="1" applyBorder="1" applyAlignment="1">
      <alignment horizontal="center" vertical="center" wrapText="1"/>
    </xf>
    <xf numFmtId="171" fontId="28" fillId="0" borderId="10" xfId="0" applyNumberFormat="1" applyFont="1" applyFill="1" applyBorder="1" applyAlignment="1">
      <alignment vertical="center" wrapText="1"/>
    </xf>
    <xf numFmtId="164" fontId="31" fillId="0" borderId="13" xfId="0" applyFont="1" applyFill="1" applyBorder="1" applyAlignment="1">
      <alignment vertical="center" wrapText="1"/>
    </xf>
    <xf numFmtId="164" fontId="58" fillId="0" borderId="13" xfId="0" applyFont="1" applyFill="1" applyBorder="1" applyAlignment="1">
      <alignment horizontal="right" vertical="center" wrapText="1"/>
    </xf>
    <xf numFmtId="164" fontId="58" fillId="0" borderId="13" xfId="0" applyFont="1" applyFill="1" applyBorder="1" applyAlignment="1">
      <alignment horizontal="center" vertical="center" wrapText="1"/>
    </xf>
    <xf numFmtId="165" fontId="31" fillId="0" borderId="13" xfId="15" applyFont="1" applyFill="1" applyBorder="1" applyAlignment="1" applyProtection="1">
      <alignment vertical="center" wrapText="1"/>
      <protection/>
    </xf>
    <xf numFmtId="164" fontId="65" fillId="0" borderId="17" xfId="0" applyFont="1" applyFill="1" applyBorder="1" applyAlignment="1">
      <alignment horizontal="center" vertical="center" wrapText="1"/>
    </xf>
    <xf numFmtId="164" fontId="28" fillId="0" borderId="17" xfId="0" applyFont="1" applyFill="1" applyBorder="1" applyAlignment="1">
      <alignment vertical="center" wrapText="1" shrinkToFit="1"/>
    </xf>
    <xf numFmtId="169" fontId="28" fillId="0" borderId="17" xfId="0" applyNumberFormat="1" applyFont="1" applyFill="1" applyBorder="1" applyAlignment="1">
      <alignment horizontal="center" vertical="center" wrapText="1"/>
    </xf>
    <xf numFmtId="169" fontId="0" fillId="0" borderId="17" xfId="0" applyNumberFormat="1" applyFont="1" applyFill="1" applyBorder="1" applyAlignment="1">
      <alignment horizontal="center" vertical="center"/>
    </xf>
    <xf numFmtId="165" fontId="66" fillId="0" borderId="10" xfId="15" applyFont="1" applyFill="1" applyBorder="1" applyAlignment="1" applyProtection="1">
      <alignment horizontal="center" vertical="center"/>
      <protection/>
    </xf>
    <xf numFmtId="165" fontId="66" fillId="0" borderId="17" xfId="15" applyFont="1" applyFill="1" applyBorder="1" applyAlignment="1" applyProtection="1">
      <alignment horizontal="center" vertical="center"/>
      <protection/>
    </xf>
    <xf numFmtId="164" fontId="28" fillId="0" borderId="11" xfId="0" applyFont="1" applyFill="1" applyBorder="1" applyAlignment="1">
      <alignment vertical="center" wrapText="1"/>
    </xf>
    <xf numFmtId="164" fontId="31" fillId="0" borderId="11" xfId="0" applyFont="1" applyFill="1" applyBorder="1" applyAlignment="1">
      <alignment horizontal="right" vertical="center" wrapText="1"/>
    </xf>
    <xf numFmtId="165" fontId="62" fillId="0" borderId="10" xfId="15" applyFont="1" applyFill="1" applyBorder="1" applyAlignment="1" applyProtection="1">
      <alignment horizontal="center" vertical="center"/>
      <protection/>
    </xf>
    <xf numFmtId="165" fontId="62" fillId="0" borderId="17" xfId="15" applyFont="1" applyFill="1" applyBorder="1" applyAlignment="1" applyProtection="1">
      <alignment horizontal="center" vertical="center"/>
      <protection/>
    </xf>
    <xf numFmtId="164" fontId="31" fillId="0" borderId="0" xfId="0" applyFont="1" applyFill="1" applyAlignment="1">
      <alignment horizontal="center" vertical="center" wrapText="1"/>
    </xf>
    <xf numFmtId="164" fontId="31" fillId="0" borderId="13" xfId="0" applyFont="1" applyFill="1" applyBorder="1" applyAlignment="1">
      <alignment horizontal="right" vertical="center" wrapText="1" shrinkToFit="1"/>
    </xf>
    <xf numFmtId="167" fontId="0" fillId="0" borderId="13" xfId="0" applyNumberFormat="1" applyFont="1" applyFill="1" applyBorder="1" applyAlignment="1">
      <alignment horizontal="center" vertical="center"/>
    </xf>
    <xf numFmtId="168" fontId="44" fillId="0" borderId="0" xfId="0" applyNumberFormat="1" applyFont="1" applyFill="1" applyAlignment="1">
      <alignment/>
    </xf>
    <xf numFmtId="164" fontId="0" fillId="0" borderId="0" xfId="0" applyFont="1" applyFill="1" applyBorder="1" applyAlignment="1">
      <alignment horizontal="left" wrapText="1"/>
    </xf>
    <xf numFmtId="169" fontId="0" fillId="0" borderId="0" xfId="0" applyNumberFormat="1" applyFont="1" applyFill="1" applyBorder="1" applyAlignment="1">
      <alignment horizontal="left" vertical="center"/>
    </xf>
    <xf numFmtId="164" fontId="0" fillId="0" borderId="0" xfId="0" applyFill="1" applyAlignment="1">
      <alignment/>
    </xf>
    <xf numFmtId="168" fontId="44" fillId="0" borderId="0" xfId="0" applyNumberFormat="1" applyFont="1" applyFill="1" applyAlignment="1">
      <alignment/>
    </xf>
    <xf numFmtId="164" fontId="67" fillId="0" borderId="10" xfId="0" applyFont="1" applyFill="1" applyBorder="1" applyAlignment="1">
      <alignment horizontal="center" vertical="center"/>
    </xf>
    <xf numFmtId="164" fontId="67" fillId="0" borderId="10" xfId="0" applyFont="1" applyFill="1" applyBorder="1" applyAlignment="1">
      <alignment horizontal="center" vertical="center" wrapText="1"/>
    </xf>
    <xf numFmtId="164" fontId="0" fillId="0" borderId="17" xfId="0" applyFont="1" applyFill="1" applyBorder="1" applyAlignment="1">
      <alignment horizontal="center" vertical="center" wrapText="1"/>
    </xf>
    <xf numFmtId="164" fontId="0" fillId="0" borderId="23" xfId="0" applyFont="1" applyFill="1" applyBorder="1" applyAlignment="1">
      <alignment horizontal="center" vertical="center" wrapText="1"/>
    </xf>
    <xf numFmtId="164" fontId="28" fillId="0" borderId="17" xfId="52" applyFont="1" applyFill="1" applyBorder="1" applyAlignment="1">
      <alignment/>
      <protection/>
    </xf>
    <xf numFmtId="164" fontId="0" fillId="0" borderId="18" xfId="0" applyFont="1" applyFill="1" applyBorder="1" applyAlignment="1">
      <alignment horizontal="center" vertical="center" wrapText="1"/>
    </xf>
    <xf numFmtId="164" fontId="39" fillId="0" borderId="10" xfId="0" applyFont="1" applyFill="1" applyBorder="1" applyAlignment="1">
      <alignment horizontal="center" vertical="center" wrapText="1"/>
    </xf>
    <xf numFmtId="164" fontId="39" fillId="0" borderId="0" xfId="0" applyFont="1" applyFill="1" applyAlignment="1">
      <alignment vertical="center" wrapText="1"/>
    </xf>
    <xf numFmtId="168" fontId="31" fillId="0" borderId="19" xfId="0" applyNumberFormat="1" applyFont="1" applyFill="1" applyBorder="1" applyAlignment="1">
      <alignment horizontal="center" vertical="center"/>
    </xf>
    <xf numFmtId="164" fontId="31" fillId="0" borderId="19" xfId="0" applyFont="1" applyFill="1" applyBorder="1" applyAlignment="1">
      <alignment horizontal="right" vertical="center" wrapText="1"/>
    </xf>
    <xf numFmtId="167" fontId="31" fillId="0" borderId="19" xfId="0" applyNumberFormat="1" applyFont="1" applyFill="1" applyBorder="1" applyAlignment="1">
      <alignment horizontal="center" vertical="center"/>
    </xf>
    <xf numFmtId="165" fontId="31" fillId="0" borderId="19" xfId="15" applyFont="1" applyFill="1" applyBorder="1" applyAlignment="1" applyProtection="1">
      <alignment horizontal="center" vertical="center"/>
      <protection/>
    </xf>
    <xf numFmtId="164" fontId="46" fillId="0" borderId="17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1. izcēlums" xfId="21"/>
    <cellStyle name="2. izcēlums" xfId="22"/>
    <cellStyle name="20% no 1. izcēluma" xfId="23"/>
    <cellStyle name="20% no 2. izcēluma" xfId="24"/>
    <cellStyle name="20% no 3. izcēluma" xfId="25"/>
    <cellStyle name="20% no 4. izcēluma" xfId="26"/>
    <cellStyle name="20% no 5. izcēluma" xfId="27"/>
    <cellStyle name="20% no 6. izcēluma" xfId="28"/>
    <cellStyle name="3. izcēlums " xfId="29"/>
    <cellStyle name="4. izcēlums" xfId="30"/>
    <cellStyle name="40% no 1. izcēluma" xfId="31"/>
    <cellStyle name="40% no 2. izcēluma" xfId="32"/>
    <cellStyle name="40% no 3. izcēluma" xfId="33"/>
    <cellStyle name="40% no 4. izcēluma" xfId="34"/>
    <cellStyle name="40% no 5. izcēluma" xfId="35"/>
    <cellStyle name="40% no 6. izcēluma" xfId="36"/>
    <cellStyle name="5. izcēlums" xfId="37"/>
    <cellStyle name="6. izcēlums" xfId="38"/>
    <cellStyle name="60% no 1. izcēluma" xfId="39"/>
    <cellStyle name="60% no 2. izcēluma" xfId="40"/>
    <cellStyle name="60% no 3. izcēluma" xfId="41"/>
    <cellStyle name="60% no 4. izcēluma" xfId="42"/>
    <cellStyle name="60% no 5. izcēluma" xfId="43"/>
    <cellStyle name="60% no 6. izcēluma" xfId="44"/>
    <cellStyle name="Aprēķināšana" xfId="45"/>
    <cellStyle name="Brīdinājuma teksts" xfId="46"/>
    <cellStyle name="Ievade" xfId="47"/>
    <cellStyle name="Izvade" xfId="48"/>
    <cellStyle name="Kopsumma" xfId="49"/>
    <cellStyle name="Labs" xfId="50"/>
    <cellStyle name="Neitrāls" xfId="51"/>
    <cellStyle name="Normal 2" xfId="52"/>
    <cellStyle name="Nosaukums" xfId="53"/>
    <cellStyle name="Pārbaudes šūna" xfId="54"/>
    <cellStyle name="Paskaidrojošs teksts" xfId="55"/>
    <cellStyle name="Piezīme" xfId="56"/>
    <cellStyle name="Saistītā šūna" xfId="57"/>
    <cellStyle name="Slikts" xfId="58"/>
    <cellStyle name="Virsraksts 1" xfId="59"/>
    <cellStyle name="Virsraksts 2" xfId="60"/>
    <cellStyle name="Virsraksts 3" xfId="61"/>
    <cellStyle name="Virsraksts 4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SheetLayoutView="140" workbookViewId="0" topLeftCell="A1">
      <selection activeCell="B28" sqref="B28"/>
    </sheetView>
  </sheetViews>
  <sheetFormatPr defaultColWidth="9.140625" defaultRowHeight="12.75"/>
  <cols>
    <col min="1" max="1" width="22.28125" style="0" customWidth="1"/>
    <col min="2" max="2" width="41.8515625" style="0" customWidth="1"/>
    <col min="3" max="3" width="18.421875" style="0" customWidth="1"/>
    <col min="4" max="4" width="0" style="0" hidden="1" customWidth="1"/>
    <col min="6" max="6" width="24.7109375" style="0" customWidth="1"/>
    <col min="10" max="10" width="43.7109375" style="0" customWidth="1"/>
  </cols>
  <sheetData>
    <row r="1" ht="14.25">
      <c r="B1" s="1" t="s">
        <v>0</v>
      </c>
    </row>
    <row r="3" spans="1:10" ht="21.75" customHeight="1">
      <c r="A3" s="2" t="s">
        <v>1</v>
      </c>
      <c r="B3" s="2"/>
      <c r="C3" s="2"/>
      <c r="D3" s="3"/>
      <c r="E3" s="3"/>
      <c r="F3" s="3"/>
      <c r="G3" s="3"/>
      <c r="H3" s="3"/>
      <c r="I3" s="3"/>
      <c r="J3" s="3"/>
    </row>
    <row r="5" spans="1:3" s="5" customFormat="1" ht="13.5">
      <c r="A5" s="4" t="s">
        <v>2</v>
      </c>
      <c r="B5" s="4"/>
      <c r="C5" s="4"/>
    </row>
    <row r="6" spans="1:3" s="5" customFormat="1" ht="13.5">
      <c r="A6" s="4" t="s">
        <v>3</v>
      </c>
      <c r="B6" s="6"/>
      <c r="C6" s="6"/>
    </row>
    <row r="7" spans="1:4" s="5" customFormat="1" ht="13.5">
      <c r="A7" s="7" t="s">
        <v>4</v>
      </c>
      <c r="B7" s="8"/>
      <c r="C7" s="9"/>
      <c r="D7"/>
    </row>
    <row r="8" spans="1:4" s="5" customFormat="1" ht="13.5">
      <c r="A8" s="10" t="s">
        <v>5</v>
      </c>
      <c r="B8" s="9" t="s">
        <v>6</v>
      </c>
      <c r="C8"/>
      <c r="D8" s="11"/>
    </row>
    <row r="9" spans="1:6" s="5" customFormat="1" ht="13.5">
      <c r="A9" s="7" t="s">
        <v>7</v>
      </c>
      <c r="B9" s="7" t="s">
        <v>8</v>
      </c>
      <c r="C9"/>
      <c r="D9" s="8"/>
      <c r="E9" s="12"/>
      <c r="F9" s="12"/>
    </row>
    <row r="10" spans="1:6" s="5" customFormat="1" ht="13.5">
      <c r="A10" s="7" t="s">
        <v>9</v>
      </c>
      <c r="B10" s="7" t="s">
        <v>10</v>
      </c>
      <c r="C10"/>
      <c r="D10" s="8"/>
      <c r="E10" s="12"/>
      <c r="F10" s="12"/>
    </row>
    <row r="11" spans="1:6" s="5" customFormat="1" ht="13.5">
      <c r="A11" s="13"/>
      <c r="B11" s="13"/>
      <c r="C11" s="13"/>
      <c r="D11" s="12"/>
      <c r="E11" s="12"/>
      <c r="F11" s="12"/>
    </row>
    <row r="12" spans="1:6" ht="12">
      <c r="A12" s="14"/>
      <c r="B12" s="14"/>
      <c r="C12" s="14"/>
      <c r="D12" s="14"/>
      <c r="E12" s="14"/>
      <c r="F12" s="14"/>
    </row>
    <row r="13" spans="1:3" ht="14.25">
      <c r="A13" s="15" t="s">
        <v>11</v>
      </c>
      <c r="B13" s="15"/>
      <c r="C13" s="15"/>
    </row>
    <row r="14" spans="1:7" ht="12">
      <c r="A14" s="16" t="s">
        <v>12</v>
      </c>
      <c r="B14" s="16" t="s">
        <v>7</v>
      </c>
      <c r="C14" s="16" t="s">
        <v>13</v>
      </c>
      <c r="D14" s="17"/>
      <c r="E14" s="17"/>
      <c r="F14" s="17"/>
      <c r="G14" s="18"/>
    </row>
    <row r="15" spans="1:7" ht="12">
      <c r="A15" s="16">
        <v>1</v>
      </c>
      <c r="B15" s="16"/>
      <c r="C15" s="16"/>
      <c r="D15" s="17"/>
      <c r="E15" s="17"/>
      <c r="F15" s="17"/>
      <c r="G15" s="18"/>
    </row>
    <row r="16" spans="1:7" ht="12">
      <c r="A16" s="19" t="s">
        <v>14</v>
      </c>
      <c r="B16" s="19"/>
      <c r="C16" s="20"/>
      <c r="D16" s="21"/>
      <c r="E16" s="17"/>
      <c r="F16" s="17"/>
      <c r="G16" s="18"/>
    </row>
    <row r="17" spans="1:7" ht="12">
      <c r="A17" s="19" t="s">
        <v>15</v>
      </c>
      <c r="B17" s="19"/>
      <c r="C17" s="20"/>
      <c r="D17" s="21"/>
      <c r="E17" s="17"/>
      <c r="F17" s="17"/>
      <c r="G17" s="18"/>
    </row>
    <row r="18" spans="1:7" ht="12">
      <c r="A18" s="19" t="s">
        <v>16</v>
      </c>
      <c r="B18" s="19"/>
      <c r="C18" s="20"/>
      <c r="D18" s="21"/>
      <c r="E18" s="17"/>
      <c r="F18" s="17"/>
      <c r="G18" s="18"/>
    </row>
    <row r="19" spans="1:7" ht="12">
      <c r="A19" s="19" t="s">
        <v>17</v>
      </c>
      <c r="B19" s="19"/>
      <c r="C19" s="20"/>
      <c r="D19" s="21"/>
      <c r="E19" s="17"/>
      <c r="F19" s="17"/>
      <c r="G19" s="18"/>
    </row>
    <row r="21" spans="1:6" ht="13.5">
      <c r="A21" s="22" t="s">
        <v>18</v>
      </c>
      <c r="B21" s="22" t="s">
        <v>19</v>
      </c>
      <c r="C21" s="22"/>
      <c r="D21" s="23"/>
      <c r="E21" s="23"/>
      <c r="F21" s="23"/>
    </row>
    <row r="22" spans="2:10" ht="14.25">
      <c r="B22" s="24" t="s">
        <v>20</v>
      </c>
      <c r="C22" s="25" t="s">
        <v>21</v>
      </c>
      <c r="D22" s="26"/>
      <c r="E22" s="26"/>
      <c r="F22" s="26"/>
      <c r="G22" s="18"/>
      <c r="H22" s="18"/>
      <c r="I22" s="18"/>
      <c r="J22" s="18"/>
    </row>
    <row r="23" spans="2:10" ht="14.25">
      <c r="B23" s="24"/>
      <c r="G23" s="18"/>
      <c r="H23" s="18"/>
      <c r="I23" s="18"/>
      <c r="J23" s="18"/>
    </row>
    <row r="24" spans="1:10" ht="14.25">
      <c r="A24" s="25"/>
      <c r="B24" s="24"/>
      <c r="D24" s="27"/>
      <c r="E24" s="25"/>
      <c r="F24" s="27"/>
      <c r="G24" s="17"/>
      <c r="H24" s="17"/>
      <c r="I24" s="17"/>
      <c r="J24" s="17"/>
    </row>
    <row r="25" spans="2:10" ht="14.25">
      <c r="B25" s="24"/>
      <c r="D25" s="28"/>
      <c r="E25" s="28"/>
      <c r="F25" s="28"/>
      <c r="G25" s="17"/>
      <c r="H25" s="17"/>
      <c r="I25" s="17"/>
      <c r="J25" s="17"/>
    </row>
    <row r="26" spans="7:10" ht="12">
      <c r="G26" s="17"/>
      <c r="H26" s="17"/>
      <c r="I26" s="17"/>
      <c r="J26" s="17"/>
    </row>
    <row r="27" spans="5:10" ht="12">
      <c r="E27" s="17"/>
      <c r="F27" s="17"/>
      <c r="G27" s="17"/>
      <c r="H27" s="17"/>
      <c r="I27" s="17"/>
      <c r="J27" s="17"/>
    </row>
    <row r="28" spans="5:10" ht="12">
      <c r="E28" s="17"/>
      <c r="F28" s="17"/>
      <c r="G28" s="17"/>
      <c r="H28" s="17"/>
      <c r="I28" s="17"/>
      <c r="J28" s="17"/>
    </row>
    <row r="29" spans="5:10" ht="12">
      <c r="E29" s="18"/>
      <c r="F29" s="18"/>
      <c r="G29" s="18"/>
      <c r="H29" s="18"/>
      <c r="I29" s="18"/>
      <c r="J29" s="18"/>
    </row>
    <row r="30" spans="5:10" ht="12">
      <c r="E30" s="18"/>
      <c r="F30" s="18"/>
      <c r="G30" s="18"/>
      <c r="H30" s="18"/>
      <c r="I30" s="18"/>
      <c r="J30" s="18"/>
    </row>
    <row r="31" spans="5:10" ht="12">
      <c r="E31" s="18"/>
      <c r="F31" s="18"/>
      <c r="G31" s="18"/>
      <c r="H31" s="18"/>
      <c r="I31" s="18"/>
      <c r="J31" s="18"/>
    </row>
    <row r="32" spans="5:10" ht="12">
      <c r="E32" s="18"/>
      <c r="F32" s="18"/>
      <c r="G32" s="18"/>
      <c r="H32" s="18"/>
      <c r="I32" s="18"/>
      <c r="J32" s="18"/>
    </row>
  </sheetData>
  <mergeCells count="11">
    <mergeCell ref="A3:C3"/>
    <mergeCell ref="A5:C5"/>
    <mergeCell ref="A11:C11"/>
    <mergeCell ref="A13:C13"/>
    <mergeCell ref="A16:B16"/>
    <mergeCell ref="A17:B17"/>
    <mergeCell ref="A18:B18"/>
    <mergeCell ref="A19:B19"/>
    <mergeCell ref="D21:F21"/>
    <mergeCell ref="D22:F22"/>
    <mergeCell ref="D25:F2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80"/>
  <sheetViews>
    <sheetView zoomScaleSheetLayoutView="140" workbookViewId="0" topLeftCell="A1">
      <selection activeCell="I9" sqref="I9"/>
    </sheetView>
  </sheetViews>
  <sheetFormatPr defaultColWidth="9.140625" defaultRowHeight="12.75"/>
  <cols>
    <col min="1" max="1" width="7.140625" style="9" customWidth="1"/>
    <col min="2" max="2" width="5.00390625" style="9" customWidth="1"/>
    <col min="3" max="3" width="33.57421875" style="9" customWidth="1"/>
    <col min="4" max="4" width="7.140625" style="9" customWidth="1"/>
    <col min="5" max="10" width="8.57421875" style="9" customWidth="1"/>
    <col min="11" max="16" width="10.00390625" style="9" customWidth="1"/>
    <col min="17" max="16384" width="9.140625" style="9" customWidth="1"/>
  </cols>
  <sheetData>
    <row r="1" spans="1:16" ht="17.25" customHeight="1">
      <c r="A1" s="58"/>
      <c r="B1" s="58"/>
      <c r="C1" s="58"/>
      <c r="D1" s="58"/>
      <c r="E1" s="58"/>
      <c r="F1" s="58"/>
      <c r="G1" s="58" t="s">
        <v>562</v>
      </c>
      <c r="H1" s="58"/>
      <c r="I1" s="58"/>
      <c r="J1" s="58"/>
      <c r="K1" s="58"/>
      <c r="L1" s="58"/>
      <c r="M1" s="58"/>
      <c r="N1" s="58"/>
      <c r="O1" s="58"/>
      <c r="P1" s="58"/>
    </row>
    <row r="2" spans="1:16" ht="14.25">
      <c r="A2" s="59"/>
      <c r="B2" s="59"/>
      <c r="C2" s="59"/>
      <c r="D2" s="59"/>
      <c r="E2" s="59"/>
      <c r="F2" s="59"/>
      <c r="G2" s="59" t="s">
        <v>563</v>
      </c>
      <c r="H2" s="59"/>
      <c r="I2" s="59"/>
      <c r="J2" s="59"/>
      <c r="K2" s="59"/>
      <c r="L2" s="59"/>
      <c r="M2" s="59"/>
      <c r="N2" s="59"/>
      <c r="O2" s="59"/>
      <c r="P2" s="59"/>
    </row>
    <row r="3" spans="1:16" ht="14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16" ht="12.75" customHeight="1">
      <c r="A4" s="7" t="s">
        <v>23</v>
      </c>
      <c r="B4" s="8"/>
      <c r="C4"/>
      <c r="D4" s="7" t="s">
        <v>24</v>
      </c>
      <c r="E4" s="60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2.75" customHeight="1">
      <c r="A5" s="7" t="s">
        <v>25</v>
      </c>
      <c r="B5" s="10"/>
      <c r="C5"/>
      <c r="D5" s="32" t="s">
        <v>26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5" ht="12.75" customHeight="1">
      <c r="A6" s="7" t="s">
        <v>4</v>
      </c>
      <c r="B6" s="8"/>
      <c r="C6"/>
      <c r="E6" s="8"/>
    </row>
    <row r="7" spans="1:16" ht="12.75" customHeight="1">
      <c r="A7" s="10" t="s">
        <v>5</v>
      </c>
      <c r="B7" s="11"/>
      <c r="C7"/>
      <c r="D7" s="9" t="s">
        <v>6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2.75" customHeight="1">
      <c r="A8" s="7" t="s">
        <v>7</v>
      </c>
      <c r="B8" s="10"/>
      <c r="C8"/>
      <c r="D8" s="51" t="s">
        <v>8</v>
      </c>
      <c r="F8" s="10"/>
      <c r="G8" s="10"/>
      <c r="H8" s="10"/>
      <c r="I8" s="61"/>
      <c r="J8" s="61"/>
      <c r="K8" s="62"/>
      <c r="L8" s="61"/>
      <c r="M8" s="61"/>
      <c r="N8" s="63"/>
      <c r="O8" s="63"/>
      <c r="P8" s="61"/>
    </row>
    <row r="9" spans="1:16" ht="12.75">
      <c r="A9" s="7" t="s">
        <v>9</v>
      </c>
      <c r="B9" s="8"/>
      <c r="C9"/>
      <c r="D9" s="7" t="s">
        <v>10</v>
      </c>
      <c r="E9" s="10"/>
      <c r="I9" s="7"/>
      <c r="J9" s="7"/>
      <c r="K9" s="7"/>
      <c r="L9" s="7"/>
      <c r="M9" s="7"/>
      <c r="N9" s="7"/>
      <c r="O9" s="7"/>
      <c r="P9" s="7"/>
    </row>
    <row r="10" spans="1:8" ht="12.75" customHeight="1">
      <c r="A10" s="7"/>
      <c r="B10" s="7"/>
      <c r="C10" s="7"/>
      <c r="D10" s="7"/>
      <c r="E10" s="7"/>
      <c r="F10" s="7"/>
      <c r="G10" s="7"/>
      <c r="H10" s="7"/>
    </row>
    <row r="11" spans="1:16" s="208" customFormat="1" ht="14.25" customHeight="1">
      <c r="A11" s="205" t="s">
        <v>56</v>
      </c>
      <c r="B11" s="206" t="s">
        <v>57</v>
      </c>
      <c r="C11" s="207" t="s">
        <v>58</v>
      </c>
      <c r="D11" s="206" t="s">
        <v>59</v>
      </c>
      <c r="E11" s="206" t="s">
        <v>60</v>
      </c>
      <c r="F11" s="207" t="s">
        <v>61</v>
      </c>
      <c r="G11" s="207"/>
      <c r="H11" s="207"/>
      <c r="I11" s="207"/>
      <c r="J11" s="207"/>
      <c r="K11" s="207"/>
      <c r="L11" s="207" t="s">
        <v>62</v>
      </c>
      <c r="M11" s="207" t="s">
        <v>62</v>
      </c>
      <c r="N11" s="207"/>
      <c r="O11" s="207"/>
      <c r="P11" s="207"/>
    </row>
    <row r="12" spans="1:16" s="208" customFormat="1" ht="58.5" customHeight="1">
      <c r="A12" s="205"/>
      <c r="B12" s="206"/>
      <c r="C12" s="207"/>
      <c r="D12" s="206"/>
      <c r="E12" s="206"/>
      <c r="F12" s="206" t="s">
        <v>63</v>
      </c>
      <c r="G12" s="206" t="s">
        <v>64</v>
      </c>
      <c r="H12" s="206" t="s">
        <v>65</v>
      </c>
      <c r="I12" s="206" t="s">
        <v>66</v>
      </c>
      <c r="J12" s="206" t="s">
        <v>67</v>
      </c>
      <c r="K12" s="206" t="s">
        <v>68</v>
      </c>
      <c r="L12" s="206" t="s">
        <v>49</v>
      </c>
      <c r="M12" s="206" t="s">
        <v>69</v>
      </c>
      <c r="N12" s="206" t="s">
        <v>70</v>
      </c>
      <c r="O12" s="206" t="s">
        <v>67</v>
      </c>
      <c r="P12" s="206" t="s">
        <v>71</v>
      </c>
    </row>
    <row r="13" spans="1:16" s="155" customFormat="1" ht="13.5" customHeight="1">
      <c r="A13" s="137">
        <v>1</v>
      </c>
      <c r="B13" s="137">
        <v>2</v>
      </c>
      <c r="C13" s="137">
        <v>3</v>
      </c>
      <c r="D13" s="137">
        <v>4</v>
      </c>
      <c r="E13" s="137">
        <v>5</v>
      </c>
      <c r="F13" s="137">
        <v>6</v>
      </c>
      <c r="G13" s="137">
        <v>7</v>
      </c>
      <c r="H13" s="137">
        <v>8</v>
      </c>
      <c r="I13" s="137">
        <v>9</v>
      </c>
      <c r="J13" s="137">
        <v>10</v>
      </c>
      <c r="K13" s="137">
        <v>11</v>
      </c>
      <c r="L13" s="137">
        <v>12</v>
      </c>
      <c r="M13" s="137">
        <v>13</v>
      </c>
      <c r="N13" s="137">
        <v>14</v>
      </c>
      <c r="O13" s="137">
        <v>15</v>
      </c>
      <c r="P13" s="137">
        <v>16</v>
      </c>
    </row>
    <row r="14" spans="1:16" s="165" customFormat="1" ht="17.25" customHeight="1">
      <c r="A14" s="103"/>
      <c r="B14" s="105"/>
      <c r="C14" s="209" t="s">
        <v>564</v>
      </c>
      <c r="D14" s="105"/>
      <c r="E14" s="107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</row>
    <row r="15" spans="1:16" s="164" customFormat="1" ht="31.5" customHeight="1">
      <c r="A15" s="103" t="s">
        <v>565</v>
      </c>
      <c r="B15" s="87"/>
      <c r="C15" s="79" t="s">
        <v>566</v>
      </c>
      <c r="D15" s="87" t="s">
        <v>74</v>
      </c>
      <c r="E15" s="77">
        <v>15</v>
      </c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1:16" s="164" customFormat="1" ht="45" customHeight="1">
      <c r="A16" s="103" t="s">
        <v>567</v>
      </c>
      <c r="B16" s="87"/>
      <c r="C16" s="79" t="s">
        <v>568</v>
      </c>
      <c r="D16" s="87" t="s">
        <v>74</v>
      </c>
      <c r="E16" s="77">
        <v>15</v>
      </c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1:16" s="165" customFormat="1" ht="26.25" customHeight="1">
      <c r="A17" s="103" t="s">
        <v>569</v>
      </c>
      <c r="B17" s="105"/>
      <c r="C17" s="79" t="s">
        <v>570</v>
      </c>
      <c r="D17" s="87" t="s">
        <v>74</v>
      </c>
      <c r="E17" s="77">
        <v>11.15</v>
      </c>
      <c r="F17" s="78"/>
      <c r="G17" s="78"/>
      <c r="H17" s="78"/>
      <c r="I17" s="129"/>
      <c r="J17" s="78"/>
      <c r="K17" s="78"/>
      <c r="L17" s="78"/>
      <c r="M17" s="78"/>
      <c r="N17" s="78"/>
      <c r="O17" s="78"/>
      <c r="P17" s="78"/>
    </row>
    <row r="18" spans="1:16" s="165" customFormat="1" ht="15" customHeight="1">
      <c r="A18" s="104" t="s">
        <v>571</v>
      </c>
      <c r="B18" s="105"/>
      <c r="C18" s="116" t="s">
        <v>318</v>
      </c>
      <c r="D18" s="105" t="s">
        <v>154</v>
      </c>
      <c r="E18" s="107">
        <f>SUM(E17*2)*1.03</f>
        <v>22.969</v>
      </c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</row>
    <row r="19" spans="1:16" s="109" customFormat="1" ht="15" customHeight="1">
      <c r="A19" s="104" t="s">
        <v>572</v>
      </c>
      <c r="B19" s="105"/>
      <c r="C19" s="116" t="s">
        <v>573</v>
      </c>
      <c r="D19" s="105" t="s">
        <v>77</v>
      </c>
      <c r="E19" s="107">
        <v>25</v>
      </c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</row>
    <row r="20" spans="1:16" s="51" customFormat="1" ht="15.75" customHeight="1">
      <c r="A20" s="103" t="s">
        <v>574</v>
      </c>
      <c r="B20" s="66"/>
      <c r="C20" s="79" t="s">
        <v>575</v>
      </c>
      <c r="D20" s="87" t="s">
        <v>74</v>
      </c>
      <c r="E20" s="77">
        <v>100</v>
      </c>
      <c r="F20" s="78"/>
      <c r="G20" s="78"/>
      <c r="H20" s="78"/>
      <c r="I20" s="129"/>
      <c r="J20" s="78"/>
      <c r="K20" s="78"/>
      <c r="L20" s="78"/>
      <c r="M20" s="78"/>
      <c r="N20" s="78"/>
      <c r="O20" s="78"/>
      <c r="P20" s="78"/>
    </row>
    <row r="21" spans="1:16" s="165" customFormat="1" ht="15" customHeight="1">
      <c r="A21" s="104" t="s">
        <v>576</v>
      </c>
      <c r="B21" s="105"/>
      <c r="C21" s="116" t="s">
        <v>577</v>
      </c>
      <c r="D21" s="105" t="s">
        <v>154</v>
      </c>
      <c r="E21" s="107">
        <f>SUM(E20*4)</f>
        <v>400</v>
      </c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</row>
    <row r="22" spans="1:16" s="165" customFormat="1" ht="15" customHeight="1">
      <c r="A22" s="104" t="s">
        <v>578</v>
      </c>
      <c r="B22" s="105"/>
      <c r="C22" s="116" t="s">
        <v>579</v>
      </c>
      <c r="D22" s="105" t="s">
        <v>167</v>
      </c>
      <c r="E22" s="107">
        <f>SUM(E20*1.1)</f>
        <v>110.00000000000001</v>
      </c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</row>
    <row r="23" spans="1:16" s="165" customFormat="1" ht="15" customHeight="1">
      <c r="A23" s="104" t="s">
        <v>580</v>
      </c>
      <c r="B23" s="105"/>
      <c r="C23" s="116" t="s">
        <v>581</v>
      </c>
      <c r="D23" s="105" t="s">
        <v>154</v>
      </c>
      <c r="E23" s="107">
        <f>SUM(E20*0.6)</f>
        <v>60</v>
      </c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</row>
    <row r="24" spans="1:16" s="211" customFormat="1" ht="39.75" customHeight="1">
      <c r="A24" s="103" t="s">
        <v>582</v>
      </c>
      <c r="B24" s="210"/>
      <c r="C24" s="79" t="s">
        <v>583</v>
      </c>
      <c r="D24" s="87" t="s">
        <v>74</v>
      </c>
      <c r="E24" s="77">
        <v>210.8</v>
      </c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1:16" s="165" customFormat="1" ht="15" customHeight="1">
      <c r="A25" s="104" t="s">
        <v>584</v>
      </c>
      <c r="B25" s="105"/>
      <c r="C25" s="116" t="s">
        <v>585</v>
      </c>
      <c r="D25" s="105" t="s">
        <v>167</v>
      </c>
      <c r="E25" s="107">
        <f>SUM(E24*1.04)</f>
        <v>219.23200000000003</v>
      </c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</row>
    <row r="26" spans="1:16" s="165" customFormat="1" ht="15" customHeight="1">
      <c r="A26" s="104" t="s">
        <v>586</v>
      </c>
      <c r="B26" s="105"/>
      <c r="C26" s="116" t="s">
        <v>587</v>
      </c>
      <c r="D26" s="105" t="s">
        <v>154</v>
      </c>
      <c r="E26" s="107">
        <f>SUM(E24*0.4)</f>
        <v>84.32000000000001</v>
      </c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</row>
    <row r="27" spans="1:16" s="165" customFormat="1" ht="15" customHeight="1">
      <c r="A27" s="104" t="s">
        <v>588</v>
      </c>
      <c r="B27" s="105"/>
      <c r="C27" s="116" t="s">
        <v>589</v>
      </c>
      <c r="D27" s="105" t="s">
        <v>77</v>
      </c>
      <c r="E27" s="107">
        <v>250</v>
      </c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</row>
    <row r="28" spans="1:16" s="164" customFormat="1" ht="16.5" customHeight="1">
      <c r="A28" s="103" t="s">
        <v>590</v>
      </c>
      <c r="B28" s="87"/>
      <c r="C28" s="79" t="s">
        <v>591</v>
      </c>
      <c r="D28" s="87" t="s">
        <v>77</v>
      </c>
      <c r="E28" s="77">
        <v>200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1:16" s="165" customFormat="1" ht="15" customHeight="1">
      <c r="A29" s="104" t="s">
        <v>592</v>
      </c>
      <c r="B29" s="105"/>
      <c r="C29" s="116" t="s">
        <v>593</v>
      </c>
      <c r="D29" s="105" t="s">
        <v>77</v>
      </c>
      <c r="E29" s="107">
        <f>SUM(E28*1.05)</f>
        <v>210</v>
      </c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</row>
    <row r="30" spans="1:16" s="165" customFormat="1" ht="15" customHeight="1">
      <c r="A30" s="104" t="s">
        <v>594</v>
      </c>
      <c r="B30" s="105"/>
      <c r="C30" s="116" t="s">
        <v>162</v>
      </c>
      <c r="D30" s="105" t="s">
        <v>77</v>
      </c>
      <c r="E30" s="107">
        <v>200</v>
      </c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</row>
    <row r="31" spans="1:16" ht="15.75" customHeight="1">
      <c r="A31" s="103"/>
      <c r="B31" s="66"/>
      <c r="C31" s="212" t="s">
        <v>595</v>
      </c>
      <c r="D31" s="66"/>
      <c r="E31" s="197"/>
      <c r="F31" s="197"/>
      <c r="G31" s="197"/>
      <c r="H31" s="129"/>
      <c r="I31" s="129"/>
      <c r="J31" s="129"/>
      <c r="K31" s="129"/>
      <c r="L31" s="129"/>
      <c r="M31" s="129"/>
      <c r="N31" s="129"/>
      <c r="O31" s="129"/>
      <c r="P31" s="129"/>
    </row>
    <row r="32" spans="1:16" s="61" customFormat="1" ht="27.75" customHeight="1">
      <c r="A32" s="103" t="s">
        <v>596</v>
      </c>
      <c r="B32" s="87"/>
      <c r="C32" s="79" t="s">
        <v>597</v>
      </c>
      <c r="D32" s="87" t="s">
        <v>74</v>
      </c>
      <c r="E32" s="77">
        <v>182.14</v>
      </c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1:16" s="109" customFormat="1" ht="15.75" customHeight="1">
      <c r="A33" s="104" t="s">
        <v>598</v>
      </c>
      <c r="B33" s="105"/>
      <c r="C33" s="116" t="s">
        <v>502</v>
      </c>
      <c r="D33" s="105" t="s">
        <v>135</v>
      </c>
      <c r="E33" s="107">
        <f>SUM(E32*0.02)*1.05</f>
        <v>3.82494</v>
      </c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</row>
    <row r="34" spans="1:16" s="61" customFormat="1" ht="27" customHeight="1">
      <c r="A34" s="103" t="s">
        <v>599</v>
      </c>
      <c r="B34" s="87"/>
      <c r="C34" s="79" t="s">
        <v>600</v>
      </c>
      <c r="D34" s="87" t="s">
        <v>74</v>
      </c>
      <c r="E34" s="77">
        <f>E32</f>
        <v>182.14</v>
      </c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1:16" s="109" customFormat="1" ht="16.5" customHeight="1">
      <c r="A35" s="104" t="s">
        <v>601</v>
      </c>
      <c r="B35" s="105"/>
      <c r="C35" s="116" t="s">
        <v>503</v>
      </c>
      <c r="D35" s="105" t="s">
        <v>504</v>
      </c>
      <c r="E35" s="107">
        <f>SUM(E34*0.25)</f>
        <v>45.535</v>
      </c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1:16" s="109" customFormat="1" ht="15.75" customHeight="1">
      <c r="A36" s="104" t="s">
        <v>602</v>
      </c>
      <c r="B36" s="105"/>
      <c r="C36" s="116" t="s">
        <v>603</v>
      </c>
      <c r="D36" s="105" t="s">
        <v>154</v>
      </c>
      <c r="E36" s="107">
        <f>SUM(E34*1.64)</f>
        <v>298.70959999999997</v>
      </c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</row>
    <row r="37" spans="1:16" s="109" customFormat="1" ht="15.75" customHeight="1">
      <c r="A37" s="104" t="s">
        <v>604</v>
      </c>
      <c r="B37" s="105"/>
      <c r="C37" s="116" t="s">
        <v>605</v>
      </c>
      <c r="D37" s="105" t="s">
        <v>151</v>
      </c>
      <c r="E37" s="107">
        <f>SUM(E34*0.005)</f>
        <v>0.9107</v>
      </c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</row>
    <row r="38" spans="1:16" s="109" customFormat="1" ht="15.75" customHeight="1">
      <c r="A38" s="104" t="s">
        <v>606</v>
      </c>
      <c r="B38" s="105"/>
      <c r="C38" s="116" t="s">
        <v>607</v>
      </c>
      <c r="D38" s="105" t="s">
        <v>151</v>
      </c>
      <c r="E38" s="107">
        <f>E34</f>
        <v>182.14</v>
      </c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</row>
    <row r="39" spans="1:16" s="61" customFormat="1" ht="14.25" customHeight="1">
      <c r="A39" s="103" t="s">
        <v>608</v>
      </c>
      <c r="B39" s="87"/>
      <c r="C39" s="79" t="s">
        <v>609</v>
      </c>
      <c r="D39" s="87" t="s">
        <v>74</v>
      </c>
      <c r="E39" s="77">
        <v>182.14</v>
      </c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1:16" s="109" customFormat="1" ht="14.25" customHeight="1">
      <c r="A40" s="104" t="s">
        <v>610</v>
      </c>
      <c r="B40" s="105"/>
      <c r="C40" s="116" t="s">
        <v>503</v>
      </c>
      <c r="D40" s="105" t="s">
        <v>504</v>
      </c>
      <c r="E40" s="107">
        <f>SUM(E39*0.15)</f>
        <v>27.320999999999998</v>
      </c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</row>
    <row r="41" spans="1:16" s="109" customFormat="1" ht="14.25" customHeight="1">
      <c r="A41" s="104" t="s">
        <v>611</v>
      </c>
      <c r="B41" s="105"/>
      <c r="C41" s="116" t="s">
        <v>505</v>
      </c>
      <c r="D41" s="105" t="s">
        <v>504</v>
      </c>
      <c r="E41" s="107">
        <f>SUM(E39*0.25)</f>
        <v>45.535</v>
      </c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</row>
    <row r="42" spans="1:16" s="109" customFormat="1" ht="29.25" customHeight="1">
      <c r="A42" s="103" t="s">
        <v>612</v>
      </c>
      <c r="B42" s="105"/>
      <c r="C42" s="79" t="s">
        <v>613</v>
      </c>
      <c r="D42" s="87" t="s">
        <v>74</v>
      </c>
      <c r="E42" s="77">
        <v>34.26</v>
      </c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1:16" s="109" customFormat="1" ht="15" customHeight="1">
      <c r="A43" s="104" t="s">
        <v>614</v>
      </c>
      <c r="B43" s="105"/>
      <c r="C43" s="116" t="s">
        <v>503</v>
      </c>
      <c r="D43" s="105" t="s">
        <v>504</v>
      </c>
      <c r="E43" s="107">
        <f>SUM(E42*0.25)</f>
        <v>8.565</v>
      </c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</row>
    <row r="44" spans="1:16" s="109" customFormat="1" ht="15" customHeight="1">
      <c r="A44" s="104" t="s">
        <v>615</v>
      </c>
      <c r="B44" s="105"/>
      <c r="C44" s="116" t="s">
        <v>616</v>
      </c>
      <c r="D44" s="105" t="s">
        <v>154</v>
      </c>
      <c r="E44" s="107">
        <f>SUM(E42*0.95)*20</f>
        <v>650.9399999999999</v>
      </c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</row>
    <row r="45" spans="1:16" s="109" customFormat="1" ht="15" customHeight="1">
      <c r="A45" s="104" t="s">
        <v>617</v>
      </c>
      <c r="B45" s="105"/>
      <c r="C45" s="116" t="s">
        <v>603</v>
      </c>
      <c r="D45" s="105" t="s">
        <v>154</v>
      </c>
      <c r="E45" s="107">
        <f>SUM(E42*1.64)</f>
        <v>56.18639999999999</v>
      </c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</row>
    <row r="46" spans="1:16" s="109" customFormat="1" ht="15" customHeight="1">
      <c r="A46" s="104" t="s">
        <v>618</v>
      </c>
      <c r="B46" s="105"/>
      <c r="C46" s="116" t="s">
        <v>605</v>
      </c>
      <c r="D46" s="105" t="s">
        <v>151</v>
      </c>
      <c r="E46" s="107">
        <f>SUM(E42*0.005)</f>
        <v>0.17129999999999998</v>
      </c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</row>
    <row r="47" spans="1:16" s="61" customFormat="1" ht="14.25" customHeight="1">
      <c r="A47" s="103" t="s">
        <v>619</v>
      </c>
      <c r="B47" s="87"/>
      <c r="C47" s="79" t="s">
        <v>609</v>
      </c>
      <c r="D47" s="87" t="s">
        <v>74</v>
      </c>
      <c r="E47" s="77">
        <v>34.26</v>
      </c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1:16" s="109" customFormat="1" ht="14.25" customHeight="1">
      <c r="A48" s="104" t="s">
        <v>620</v>
      </c>
      <c r="B48" s="105"/>
      <c r="C48" s="116" t="s">
        <v>503</v>
      </c>
      <c r="D48" s="105" t="s">
        <v>504</v>
      </c>
      <c r="E48" s="107">
        <f>SUM(E47*0.15)</f>
        <v>5.138999999999999</v>
      </c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</row>
    <row r="49" spans="1:16" s="109" customFormat="1" ht="14.25" customHeight="1">
      <c r="A49" s="104" t="s">
        <v>621</v>
      </c>
      <c r="B49" s="105"/>
      <c r="C49" s="116" t="s">
        <v>505</v>
      </c>
      <c r="D49" s="105" t="s">
        <v>504</v>
      </c>
      <c r="E49" s="107">
        <f>SUM(E47*0.25)</f>
        <v>8.565</v>
      </c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</row>
    <row r="50" spans="1:16" s="109" customFormat="1" ht="24.75" customHeight="1">
      <c r="A50" s="103" t="s">
        <v>622</v>
      </c>
      <c r="B50" s="105"/>
      <c r="C50" s="79" t="s">
        <v>623</v>
      </c>
      <c r="D50" s="87" t="s">
        <v>74</v>
      </c>
      <c r="E50" s="77">
        <v>272.53</v>
      </c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1:16" s="109" customFormat="1" ht="15" customHeight="1">
      <c r="A51" s="104" t="s">
        <v>624</v>
      </c>
      <c r="B51" s="105"/>
      <c r="C51" s="116" t="s">
        <v>625</v>
      </c>
      <c r="D51" s="105" t="s">
        <v>504</v>
      </c>
      <c r="E51" s="107">
        <f>SUM(E50*0.15)</f>
        <v>40.87949999999999</v>
      </c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</row>
    <row r="52" spans="1:16" s="109" customFormat="1" ht="15" customHeight="1">
      <c r="A52" s="104" t="s">
        <v>626</v>
      </c>
      <c r="B52" s="105"/>
      <c r="C52" s="116" t="s">
        <v>603</v>
      </c>
      <c r="D52" s="105" t="s">
        <v>154</v>
      </c>
      <c r="E52" s="107">
        <f>SUM(E50*0.6)</f>
        <v>163.51799999999997</v>
      </c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</row>
    <row r="53" spans="1:16" s="109" customFormat="1" ht="15" customHeight="1">
      <c r="A53" s="104" t="s">
        <v>627</v>
      </c>
      <c r="B53" s="105"/>
      <c r="C53" s="116" t="s">
        <v>605</v>
      </c>
      <c r="D53" s="105" t="s">
        <v>151</v>
      </c>
      <c r="E53" s="107">
        <f>SUM(E50*0.005)</f>
        <v>1.36265</v>
      </c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</row>
    <row r="54" spans="1:16" s="109" customFormat="1" ht="15" customHeight="1">
      <c r="A54" s="104" t="s">
        <v>628</v>
      </c>
      <c r="B54" s="105"/>
      <c r="C54" s="116" t="s">
        <v>629</v>
      </c>
      <c r="D54" s="105" t="s">
        <v>151</v>
      </c>
      <c r="E54" s="107">
        <f>SUM(E50)</f>
        <v>272.53</v>
      </c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</row>
    <row r="55" spans="1:16" s="109" customFormat="1" ht="20.25" customHeight="1">
      <c r="A55" s="103" t="s">
        <v>630</v>
      </c>
      <c r="B55" s="105"/>
      <c r="C55" s="79" t="s">
        <v>631</v>
      </c>
      <c r="D55" s="87" t="s">
        <v>74</v>
      </c>
      <c r="E55" s="77">
        <v>272.53</v>
      </c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1:16" s="109" customFormat="1" ht="15" customHeight="1">
      <c r="A56" s="104" t="s">
        <v>632</v>
      </c>
      <c r="B56" s="105"/>
      <c r="C56" s="116" t="s">
        <v>503</v>
      </c>
      <c r="D56" s="105" t="s">
        <v>504</v>
      </c>
      <c r="E56" s="107">
        <f>SUM(E55*0.15)</f>
        <v>40.87949999999999</v>
      </c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</row>
    <row r="57" spans="1:16" s="109" customFormat="1" ht="15" customHeight="1">
      <c r="A57" s="104" t="s">
        <v>633</v>
      </c>
      <c r="B57" s="105"/>
      <c r="C57" s="116" t="s">
        <v>505</v>
      </c>
      <c r="D57" s="105" t="s">
        <v>504</v>
      </c>
      <c r="E57" s="107">
        <f>SUM(E55*0.25)</f>
        <v>68.1325</v>
      </c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</row>
    <row r="58" spans="1:16" s="165" customFormat="1" ht="25.5" customHeight="1">
      <c r="A58" s="103" t="s">
        <v>634</v>
      </c>
      <c r="B58" s="105"/>
      <c r="C58" s="79" t="s">
        <v>635</v>
      </c>
      <c r="D58" s="87" t="s">
        <v>74</v>
      </c>
      <c r="E58" s="77">
        <v>34.5</v>
      </c>
      <c r="F58" s="78"/>
      <c r="G58" s="78"/>
      <c r="H58" s="78"/>
      <c r="I58" s="129"/>
      <c r="J58" s="78"/>
      <c r="K58" s="78"/>
      <c r="L58" s="78"/>
      <c r="M58" s="78"/>
      <c r="N58" s="78"/>
      <c r="O58" s="78"/>
      <c r="P58" s="78"/>
    </row>
    <row r="59" spans="1:16" s="165" customFormat="1" ht="15" customHeight="1">
      <c r="A59" s="104" t="s">
        <v>636</v>
      </c>
      <c r="B59" s="105"/>
      <c r="C59" s="116" t="s">
        <v>318</v>
      </c>
      <c r="D59" s="105" t="s">
        <v>154</v>
      </c>
      <c r="E59" s="107">
        <f>SUM(E58*2)*1.03</f>
        <v>71.07000000000001</v>
      </c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</row>
    <row r="60" spans="1:16" s="109" customFormat="1" ht="15" customHeight="1">
      <c r="A60" s="104" t="s">
        <v>637</v>
      </c>
      <c r="B60" s="105"/>
      <c r="C60" s="116" t="s">
        <v>573</v>
      </c>
      <c r="D60" s="105" t="s">
        <v>77</v>
      </c>
      <c r="E60" s="107">
        <v>25</v>
      </c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</row>
    <row r="61" spans="1:16" s="109" customFormat="1" ht="14.25" customHeight="1">
      <c r="A61" s="103" t="s">
        <v>638</v>
      </c>
      <c r="B61" s="105"/>
      <c r="C61" s="79" t="s">
        <v>639</v>
      </c>
      <c r="D61" s="87" t="s">
        <v>74</v>
      </c>
      <c r="E61" s="77">
        <v>34.58</v>
      </c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</row>
    <row r="62" spans="1:16" s="109" customFormat="1" ht="15" customHeight="1">
      <c r="A62" s="104" t="s">
        <v>640</v>
      </c>
      <c r="B62" s="105"/>
      <c r="C62" s="116" t="s">
        <v>641</v>
      </c>
      <c r="D62" s="105" t="s">
        <v>154</v>
      </c>
      <c r="E62" s="107">
        <f>SUM(E61*3.5)</f>
        <v>121.03</v>
      </c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</row>
    <row r="63" spans="1:16" s="109" customFormat="1" ht="15" customHeight="1">
      <c r="A63" s="104" t="s">
        <v>642</v>
      </c>
      <c r="B63" s="105"/>
      <c r="C63" s="116" t="s">
        <v>579</v>
      </c>
      <c r="D63" s="105" t="s">
        <v>151</v>
      </c>
      <c r="E63" s="107">
        <f>SUM(E61*1.1)</f>
        <v>38.038000000000004</v>
      </c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</row>
    <row r="64" spans="1:16" s="109" customFormat="1" ht="15" customHeight="1">
      <c r="A64" s="104" t="s">
        <v>643</v>
      </c>
      <c r="B64" s="105"/>
      <c r="C64" s="116" t="s">
        <v>581</v>
      </c>
      <c r="D64" s="105" t="s">
        <v>154</v>
      </c>
      <c r="E64" s="107">
        <f>SUM(E61*0.6)</f>
        <v>20.747999999999998</v>
      </c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</row>
    <row r="65" spans="1:16" s="51" customFormat="1" ht="15" customHeight="1">
      <c r="A65" s="103"/>
      <c r="B65" s="66"/>
      <c r="C65" s="212" t="s">
        <v>644</v>
      </c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</row>
    <row r="66" spans="1:16" s="61" customFormat="1" ht="24.75" customHeight="1">
      <c r="A66" s="103" t="s">
        <v>645</v>
      </c>
      <c r="B66" s="87"/>
      <c r="C66" s="79" t="s">
        <v>646</v>
      </c>
      <c r="D66" s="87" t="s">
        <v>74</v>
      </c>
      <c r="E66" s="77">
        <v>51.95</v>
      </c>
      <c r="F66" s="77"/>
      <c r="G66" s="77"/>
      <c r="H66" s="78"/>
      <c r="I66" s="78"/>
      <c r="J66" s="78"/>
      <c r="K66" s="78"/>
      <c r="L66" s="78"/>
      <c r="M66" s="78"/>
      <c r="N66" s="78"/>
      <c r="O66" s="78"/>
      <c r="P66" s="78"/>
    </row>
    <row r="67" spans="1:16" s="109" customFormat="1" ht="15" customHeight="1">
      <c r="A67" s="104" t="s">
        <v>647</v>
      </c>
      <c r="B67" s="105"/>
      <c r="C67" s="116" t="s">
        <v>503</v>
      </c>
      <c r="D67" s="105" t="s">
        <v>504</v>
      </c>
      <c r="E67" s="213">
        <f>SUM(E66*0.15)</f>
        <v>7.7925</v>
      </c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</row>
    <row r="68" spans="1:16" s="109" customFormat="1" ht="15" customHeight="1">
      <c r="A68" s="104" t="s">
        <v>648</v>
      </c>
      <c r="B68" s="105"/>
      <c r="C68" s="116" t="s">
        <v>649</v>
      </c>
      <c r="D68" s="105" t="s">
        <v>154</v>
      </c>
      <c r="E68" s="107">
        <f>SUM(E66*1.8)</f>
        <v>93.51</v>
      </c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</row>
    <row r="69" spans="1:16" s="109" customFormat="1" ht="15" customHeight="1">
      <c r="A69" s="104" t="s">
        <v>650</v>
      </c>
      <c r="B69" s="105"/>
      <c r="C69" s="116" t="s">
        <v>605</v>
      </c>
      <c r="D69" s="105" t="s">
        <v>151</v>
      </c>
      <c r="E69" s="107">
        <f>SUM(E66*0.01)</f>
        <v>0.5195000000000001</v>
      </c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</row>
    <row r="70" spans="1:16" s="109" customFormat="1" ht="15" customHeight="1">
      <c r="A70" s="103" t="s">
        <v>651</v>
      </c>
      <c r="B70" s="105"/>
      <c r="C70" s="79" t="s">
        <v>652</v>
      </c>
      <c r="D70" s="87" t="s">
        <v>74</v>
      </c>
      <c r="E70" s="77">
        <v>264.58</v>
      </c>
      <c r="F70" s="77"/>
      <c r="G70" s="77"/>
      <c r="H70" s="78"/>
      <c r="I70" s="78"/>
      <c r="J70" s="78"/>
      <c r="K70" s="78"/>
      <c r="L70" s="78"/>
      <c r="M70" s="78"/>
      <c r="N70" s="78"/>
      <c r="O70" s="78"/>
      <c r="P70" s="78"/>
    </row>
    <row r="71" spans="1:16" s="109" customFormat="1" ht="15" customHeight="1">
      <c r="A71" s="103" t="s">
        <v>653</v>
      </c>
      <c r="B71" s="105"/>
      <c r="C71" s="79" t="s">
        <v>654</v>
      </c>
      <c r="D71" s="87" t="s">
        <v>74</v>
      </c>
      <c r="E71" s="77">
        <v>264.58</v>
      </c>
      <c r="F71" s="77"/>
      <c r="G71" s="77"/>
      <c r="H71" s="78"/>
      <c r="I71" s="78"/>
      <c r="J71" s="78"/>
      <c r="K71" s="78"/>
      <c r="L71" s="78"/>
      <c r="M71" s="78"/>
      <c r="N71" s="78"/>
      <c r="O71" s="78"/>
      <c r="P71" s="78"/>
    </row>
    <row r="72" spans="1:16" s="109" customFormat="1" ht="15" customHeight="1">
      <c r="A72" s="103" t="s">
        <v>655</v>
      </c>
      <c r="B72" s="105"/>
      <c r="C72" s="79" t="s">
        <v>656</v>
      </c>
      <c r="D72" s="87" t="s">
        <v>92</v>
      </c>
      <c r="E72" s="77">
        <f>E70+E66</f>
        <v>316.53</v>
      </c>
      <c r="F72" s="77"/>
      <c r="G72" s="77"/>
      <c r="H72" s="78"/>
      <c r="I72" s="78"/>
      <c r="J72" s="78"/>
      <c r="K72" s="78"/>
      <c r="L72" s="78"/>
      <c r="M72" s="78"/>
      <c r="N72" s="78"/>
      <c r="O72" s="78"/>
      <c r="P72" s="78"/>
    </row>
    <row r="73" spans="1:16" s="109" customFormat="1" ht="15" customHeight="1">
      <c r="A73" s="103" t="s">
        <v>657</v>
      </c>
      <c r="B73" s="105"/>
      <c r="C73" s="79" t="s">
        <v>658</v>
      </c>
      <c r="D73" s="87" t="s">
        <v>74</v>
      </c>
      <c r="E73" s="77">
        <v>34.3</v>
      </c>
      <c r="F73" s="77"/>
      <c r="G73" s="77"/>
      <c r="H73" s="78"/>
      <c r="I73" s="78"/>
      <c r="J73" s="78"/>
      <c r="K73" s="78"/>
      <c r="L73" s="78"/>
      <c r="M73" s="78"/>
      <c r="N73" s="78"/>
      <c r="O73" s="78"/>
      <c r="P73" s="78"/>
    </row>
    <row r="74" spans="1:16" s="109" customFormat="1" ht="12.75" customHeight="1">
      <c r="A74" s="130"/>
      <c r="B74" s="131"/>
      <c r="C74" s="214"/>
      <c r="D74" s="131"/>
      <c r="E74" s="215"/>
      <c r="F74" s="133"/>
      <c r="G74" s="133"/>
      <c r="H74" s="134"/>
      <c r="I74" s="134"/>
      <c r="J74" s="134"/>
      <c r="K74" s="134"/>
      <c r="L74" s="134"/>
      <c r="M74" s="134"/>
      <c r="N74" s="134"/>
      <c r="O74" s="134"/>
      <c r="P74" s="134"/>
    </row>
    <row r="76" spans="1:4" ht="12.75" customHeight="1">
      <c r="A76" s="216"/>
      <c r="B76" s="216"/>
      <c r="D76" s="29"/>
    </row>
    <row r="77" ht="12">
      <c r="D77" s="135"/>
    </row>
    <row r="78" spans="1:4" ht="12.75" customHeight="1">
      <c r="A78" s="216"/>
      <c r="B78" s="216"/>
      <c r="D78" s="135"/>
    </row>
    <row r="79" ht="6" customHeight="1">
      <c r="D79" s="135"/>
    </row>
    <row r="80" ht="12">
      <c r="D80" s="135"/>
    </row>
  </sheetData>
  <mergeCells count="12">
    <mergeCell ref="N8:O8"/>
    <mergeCell ref="I9:P9"/>
    <mergeCell ref="A10:H10"/>
    <mergeCell ref="A11:A12"/>
    <mergeCell ref="B11:B12"/>
    <mergeCell ref="C11:C12"/>
    <mergeCell ref="D11:D12"/>
    <mergeCell ref="E11:E12"/>
    <mergeCell ref="F11:K11"/>
    <mergeCell ref="L11:P11"/>
    <mergeCell ref="A76:B76"/>
    <mergeCell ref="A78:B78"/>
  </mergeCells>
  <printOptions horizontalCentered="1"/>
  <pageMargins left="0.39375" right="0.39375" top="0.9840277777777777" bottom="0.5902777777777778" header="0.5118055555555555" footer="0.19652777777777777"/>
  <pageSetup horizontalDpi="300" verticalDpi="300" orientation="landscape" paperSize="9" scale="85"/>
  <headerFooter alignWithMargins="0">
    <oddFooter>&amp;CPage &amp;P&amp;R&amp;A</oddFooter>
  </headerFooter>
  <rowBreaks count="1" manualBreakCount="1">
    <brk id="30" max="255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84"/>
  <sheetViews>
    <sheetView zoomScaleSheetLayoutView="140" workbookViewId="0" topLeftCell="A1">
      <selection activeCell="I9" sqref="I9"/>
    </sheetView>
  </sheetViews>
  <sheetFormatPr defaultColWidth="9.140625" defaultRowHeight="12.75"/>
  <cols>
    <col min="1" max="1" width="7.140625" style="9" customWidth="1"/>
    <col min="2" max="2" width="5.00390625" style="9" customWidth="1"/>
    <col min="3" max="3" width="33.57421875" style="9" customWidth="1"/>
    <col min="4" max="4" width="7.421875" style="135" customWidth="1"/>
    <col min="5" max="10" width="8.57421875" style="9" customWidth="1"/>
    <col min="11" max="16" width="10.00390625" style="9" customWidth="1"/>
    <col min="17" max="16384" width="9.140625" style="9" customWidth="1"/>
  </cols>
  <sheetData>
    <row r="1" spans="1:16" ht="14.25">
      <c r="A1" s="58"/>
      <c r="B1" s="58"/>
      <c r="C1" s="58"/>
      <c r="D1" s="58"/>
      <c r="E1" s="58"/>
      <c r="F1" s="58"/>
      <c r="G1" s="58" t="s">
        <v>659</v>
      </c>
      <c r="H1" s="58"/>
      <c r="I1" s="58"/>
      <c r="J1" s="58"/>
      <c r="K1" s="58"/>
      <c r="L1" s="58"/>
      <c r="M1" s="58"/>
      <c r="N1" s="58"/>
      <c r="O1" s="58"/>
      <c r="P1" s="58"/>
    </row>
    <row r="2" spans="1:16" ht="14.25">
      <c r="A2" s="59"/>
      <c r="B2" s="59"/>
      <c r="C2" s="59"/>
      <c r="D2" s="59"/>
      <c r="E2" s="59"/>
      <c r="F2" s="59"/>
      <c r="G2" s="59" t="s">
        <v>660</v>
      </c>
      <c r="H2" s="59"/>
      <c r="I2" s="59"/>
      <c r="J2" s="59"/>
      <c r="K2" s="59"/>
      <c r="L2" s="59"/>
      <c r="M2" s="59"/>
      <c r="N2" s="59"/>
      <c r="O2" s="59"/>
      <c r="P2" s="59"/>
    </row>
    <row r="3" spans="1:16" ht="14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16" ht="12.75" customHeight="1">
      <c r="A4" s="7" t="s">
        <v>23</v>
      </c>
      <c r="B4" s="8"/>
      <c r="C4"/>
      <c r="D4" s="7" t="s">
        <v>24</v>
      </c>
      <c r="E4" s="60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2.75" customHeight="1">
      <c r="A5" s="7" t="s">
        <v>25</v>
      </c>
      <c r="B5" s="10"/>
      <c r="C5"/>
      <c r="D5" s="32" t="s">
        <v>26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5" s="9" customFormat="1" ht="12.75" customHeight="1">
      <c r="A6" s="7" t="s">
        <v>4</v>
      </c>
      <c r="B6" s="8"/>
      <c r="C6"/>
      <c r="E6" s="8"/>
    </row>
    <row r="7" spans="1:16" ht="12.75" customHeight="1">
      <c r="A7" s="10" t="s">
        <v>5</v>
      </c>
      <c r="B7" s="11"/>
      <c r="C7"/>
      <c r="D7" s="9" t="s">
        <v>6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2.75" customHeight="1">
      <c r="A8" s="7" t="s">
        <v>7</v>
      </c>
      <c r="B8" s="10"/>
      <c r="C8"/>
      <c r="D8" s="51" t="s">
        <v>8</v>
      </c>
      <c r="F8" s="10"/>
      <c r="G8" s="10"/>
      <c r="H8" s="10"/>
      <c r="I8" s="61"/>
      <c r="J8" s="61"/>
      <c r="K8" s="62"/>
      <c r="L8" s="61"/>
      <c r="M8" s="61"/>
      <c r="N8" s="63"/>
      <c r="O8" s="63"/>
      <c r="P8" s="61"/>
    </row>
    <row r="9" spans="1:16" ht="12">
      <c r="A9" s="7" t="s">
        <v>9</v>
      </c>
      <c r="B9" s="8"/>
      <c r="C9"/>
      <c r="D9" s="7" t="s">
        <v>10</v>
      </c>
      <c r="E9" s="10"/>
      <c r="I9" s="7"/>
      <c r="J9" s="7"/>
      <c r="K9" s="7"/>
      <c r="L9" s="7"/>
      <c r="M9" s="7"/>
      <c r="N9" s="7"/>
      <c r="O9" s="7"/>
      <c r="P9" s="7"/>
    </row>
    <row r="10" spans="1:8" ht="12.75" customHeight="1">
      <c r="A10" s="7"/>
      <c r="B10" s="7"/>
      <c r="C10" s="7"/>
      <c r="D10" s="7"/>
      <c r="E10" s="7"/>
      <c r="F10" s="7"/>
      <c r="G10" s="7"/>
      <c r="H10" s="7"/>
    </row>
    <row r="11" spans="1:16" ht="15.75" customHeight="1">
      <c r="A11" s="39" t="s">
        <v>56</v>
      </c>
      <c r="B11" s="65" t="s">
        <v>57</v>
      </c>
      <c r="C11" s="66" t="s">
        <v>58</v>
      </c>
      <c r="D11" s="65" t="s">
        <v>59</v>
      </c>
      <c r="E11" s="65" t="s">
        <v>60</v>
      </c>
      <c r="F11" s="66" t="s">
        <v>61</v>
      </c>
      <c r="G11" s="66"/>
      <c r="H11" s="66"/>
      <c r="I11" s="66"/>
      <c r="J11" s="66"/>
      <c r="K11" s="66"/>
      <c r="L11" s="66" t="s">
        <v>62</v>
      </c>
      <c r="M11" s="66" t="s">
        <v>62</v>
      </c>
      <c r="N11" s="66"/>
      <c r="O11" s="66"/>
      <c r="P11" s="66"/>
    </row>
    <row r="12" spans="1:16" ht="59.25" customHeight="1">
      <c r="A12" s="39"/>
      <c r="B12" s="65"/>
      <c r="C12" s="66"/>
      <c r="D12" s="65"/>
      <c r="E12" s="65"/>
      <c r="F12" s="65" t="s">
        <v>63</v>
      </c>
      <c r="G12" s="65" t="s">
        <v>64</v>
      </c>
      <c r="H12" s="65" t="s">
        <v>65</v>
      </c>
      <c r="I12" s="65" t="s">
        <v>66</v>
      </c>
      <c r="J12" s="65" t="s">
        <v>67</v>
      </c>
      <c r="K12" s="65" t="s">
        <v>68</v>
      </c>
      <c r="L12" s="65" t="s">
        <v>49</v>
      </c>
      <c r="M12" s="65" t="s">
        <v>69</v>
      </c>
      <c r="N12" s="65" t="s">
        <v>70</v>
      </c>
      <c r="O12" s="65" t="s">
        <v>67</v>
      </c>
      <c r="P12" s="65" t="s">
        <v>71</v>
      </c>
    </row>
    <row r="13" spans="1:16" s="155" customFormat="1" ht="15" customHeight="1">
      <c r="A13" s="137">
        <v>1</v>
      </c>
      <c r="B13" s="137">
        <v>2</v>
      </c>
      <c r="C13" s="137">
        <v>3</v>
      </c>
      <c r="D13" s="137">
        <v>4</v>
      </c>
      <c r="E13" s="137">
        <v>5</v>
      </c>
      <c r="F13" s="137">
        <v>6</v>
      </c>
      <c r="G13" s="137">
        <v>7</v>
      </c>
      <c r="H13" s="137">
        <v>8</v>
      </c>
      <c r="I13" s="137">
        <v>9</v>
      </c>
      <c r="J13" s="137">
        <v>10</v>
      </c>
      <c r="K13" s="137">
        <v>11</v>
      </c>
      <c r="L13" s="137">
        <v>12</v>
      </c>
      <c r="M13" s="137">
        <v>13</v>
      </c>
      <c r="N13" s="137">
        <v>14</v>
      </c>
      <c r="O13" s="137">
        <v>15</v>
      </c>
      <c r="P13" s="137">
        <v>16</v>
      </c>
    </row>
    <row r="14" spans="1:16" s="218" customFormat="1" ht="18.75" customHeight="1">
      <c r="A14" s="138"/>
      <c r="B14" s="138"/>
      <c r="C14" s="217" t="s">
        <v>660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</row>
    <row r="15" spans="1:256" s="224" customFormat="1" ht="34.5" customHeight="1">
      <c r="A15" s="73" t="s">
        <v>661</v>
      </c>
      <c r="B15" s="219"/>
      <c r="C15" s="220" t="s">
        <v>662</v>
      </c>
      <c r="D15" s="221" t="s">
        <v>108</v>
      </c>
      <c r="E15" s="221">
        <v>1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222"/>
      <c r="R15" s="223"/>
      <c r="U15" s="225"/>
      <c r="V15" s="222"/>
      <c r="W15" s="223"/>
      <c r="Z15" s="225"/>
      <c r="AA15" s="222"/>
      <c r="AB15" s="223"/>
      <c r="AE15" s="225"/>
      <c r="AF15" s="222"/>
      <c r="AG15" s="223"/>
      <c r="AJ15" s="225"/>
      <c r="AK15" s="222"/>
      <c r="AL15" s="223"/>
      <c r="AO15" s="225"/>
      <c r="AP15" s="222"/>
      <c r="AQ15" s="223"/>
      <c r="AT15" s="225"/>
      <c r="AU15" s="222"/>
      <c r="AV15" s="223"/>
      <c r="AY15" s="225"/>
      <c r="AZ15" s="222"/>
      <c r="BA15" s="223"/>
      <c r="BD15" s="225"/>
      <c r="BE15" s="222"/>
      <c r="BF15" s="223"/>
      <c r="BI15" s="225"/>
      <c r="BJ15" s="222"/>
      <c r="BK15" s="223"/>
      <c r="BN15" s="225"/>
      <c r="BO15" s="222"/>
      <c r="BP15" s="223"/>
      <c r="BS15" s="225"/>
      <c r="BT15" s="222"/>
      <c r="BU15" s="223"/>
      <c r="BX15" s="225"/>
      <c r="BY15" s="222"/>
      <c r="BZ15" s="223"/>
      <c r="CC15" s="225"/>
      <c r="CD15" s="222"/>
      <c r="CE15" s="223"/>
      <c r="CH15" s="225"/>
      <c r="CI15" s="222"/>
      <c r="CJ15" s="223"/>
      <c r="CM15" s="225"/>
      <c r="CN15" s="222"/>
      <c r="CO15" s="223"/>
      <c r="CR15" s="225"/>
      <c r="CS15" s="222"/>
      <c r="CT15" s="223"/>
      <c r="CW15" s="225"/>
      <c r="CX15" s="222"/>
      <c r="CY15" s="223"/>
      <c r="DB15" s="225"/>
      <c r="DC15" s="222"/>
      <c r="DD15" s="223"/>
      <c r="DG15" s="225"/>
      <c r="DH15" s="222"/>
      <c r="DI15" s="223"/>
      <c r="DL15" s="225"/>
      <c r="DM15" s="222"/>
      <c r="DN15" s="223"/>
      <c r="DQ15" s="225"/>
      <c r="DR15" s="222"/>
      <c r="DS15" s="223"/>
      <c r="DV15" s="225"/>
      <c r="DW15" s="222"/>
      <c r="DX15" s="223"/>
      <c r="EA15" s="225"/>
      <c r="EB15" s="222"/>
      <c r="EC15" s="223"/>
      <c r="EF15" s="225"/>
      <c r="EG15" s="222"/>
      <c r="EH15" s="223"/>
      <c r="EK15" s="225"/>
      <c r="EL15" s="222"/>
      <c r="EM15" s="223"/>
      <c r="EP15" s="225"/>
      <c r="EQ15" s="222"/>
      <c r="ER15" s="223"/>
      <c r="EU15" s="225"/>
      <c r="EV15" s="222"/>
      <c r="EW15" s="223"/>
      <c r="EZ15" s="225"/>
      <c r="FA15" s="222"/>
      <c r="FB15" s="223"/>
      <c r="FE15" s="225"/>
      <c r="FF15" s="222"/>
      <c r="FG15" s="223"/>
      <c r="FJ15" s="225"/>
      <c r="FK15" s="222"/>
      <c r="FL15" s="223"/>
      <c r="FO15" s="225"/>
      <c r="FP15" s="222"/>
      <c r="FQ15" s="223"/>
      <c r="FT15" s="225"/>
      <c r="FU15" s="222"/>
      <c r="FV15" s="223"/>
      <c r="FY15" s="225"/>
      <c r="FZ15" s="222"/>
      <c r="GA15" s="223"/>
      <c r="GD15" s="225"/>
      <c r="GE15" s="222"/>
      <c r="GF15" s="223"/>
      <c r="GI15" s="225"/>
      <c r="GJ15" s="222"/>
      <c r="GK15" s="223"/>
      <c r="GN15" s="225"/>
      <c r="GO15" s="222"/>
      <c r="GP15" s="223"/>
      <c r="GS15" s="225"/>
      <c r="GT15" s="222"/>
      <c r="GU15" s="223"/>
      <c r="GX15" s="225"/>
      <c r="GY15" s="222"/>
      <c r="GZ15" s="223"/>
      <c r="HC15" s="225"/>
      <c r="HD15" s="222"/>
      <c r="HE15" s="223"/>
      <c r="HH15" s="225"/>
      <c r="HI15" s="222"/>
      <c r="HJ15" s="223"/>
      <c r="HM15" s="225"/>
      <c r="HN15" s="222"/>
      <c r="HO15" s="223"/>
      <c r="HR15" s="225"/>
      <c r="HS15" s="222"/>
      <c r="HT15" s="223"/>
      <c r="HW15" s="225"/>
      <c r="HX15" s="222"/>
      <c r="HY15" s="223"/>
      <c r="IB15" s="225"/>
      <c r="IC15" s="222"/>
      <c r="ID15" s="223"/>
      <c r="IG15" s="225"/>
      <c r="IH15" s="222"/>
      <c r="II15" s="223"/>
      <c r="IL15" s="225"/>
      <c r="IM15" s="222"/>
      <c r="IN15" s="223"/>
      <c r="IQ15" s="225"/>
      <c r="IR15" s="222"/>
      <c r="IS15" s="223"/>
      <c r="IV15" s="225"/>
    </row>
    <row r="16" spans="1:16" s="227" customFormat="1" ht="40.5" customHeight="1">
      <c r="A16" s="73" t="s">
        <v>663</v>
      </c>
      <c r="B16" s="147"/>
      <c r="C16" s="79" t="s">
        <v>664</v>
      </c>
      <c r="D16" s="226" t="s">
        <v>665</v>
      </c>
      <c r="E16" s="226">
        <v>2</v>
      </c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</row>
    <row r="17" spans="1:16" s="229" customFormat="1" ht="14.25" customHeight="1">
      <c r="A17" s="140" t="s">
        <v>666</v>
      </c>
      <c r="B17" s="219"/>
      <c r="C17" s="116" t="s">
        <v>667</v>
      </c>
      <c r="D17" s="228" t="s">
        <v>665</v>
      </c>
      <c r="E17" s="228">
        <v>2</v>
      </c>
      <c r="F17" s="108"/>
      <c r="G17" s="143"/>
      <c r="H17" s="108"/>
      <c r="I17" s="143"/>
      <c r="J17" s="143"/>
      <c r="K17" s="143"/>
      <c r="L17" s="143"/>
      <c r="M17" s="143"/>
      <c r="N17" s="143"/>
      <c r="O17" s="143"/>
      <c r="P17" s="143"/>
    </row>
    <row r="18" spans="1:16" s="144" customFormat="1" ht="12.75">
      <c r="A18" s="140" t="s">
        <v>668</v>
      </c>
      <c r="B18" s="158"/>
      <c r="C18" s="116" t="s">
        <v>669</v>
      </c>
      <c r="D18" s="228" t="s">
        <v>203</v>
      </c>
      <c r="E18" s="228">
        <v>2</v>
      </c>
      <c r="F18" s="108"/>
      <c r="G18" s="143"/>
      <c r="H18" s="108"/>
      <c r="I18" s="230"/>
      <c r="J18" s="143"/>
      <c r="K18" s="143"/>
      <c r="L18" s="143"/>
      <c r="M18" s="143"/>
      <c r="N18" s="143"/>
      <c r="O18" s="143"/>
      <c r="P18" s="143"/>
    </row>
    <row r="19" spans="1:16" s="144" customFormat="1" ht="12.75">
      <c r="A19" s="140" t="s">
        <v>670</v>
      </c>
      <c r="B19" s="158"/>
      <c r="C19" s="116" t="s">
        <v>671</v>
      </c>
      <c r="D19" s="228" t="s">
        <v>203</v>
      </c>
      <c r="E19" s="228">
        <v>7</v>
      </c>
      <c r="F19" s="108"/>
      <c r="G19" s="143"/>
      <c r="H19" s="108"/>
      <c r="I19" s="230"/>
      <c r="J19" s="143"/>
      <c r="K19" s="143"/>
      <c r="L19" s="143"/>
      <c r="M19" s="143"/>
      <c r="N19" s="143"/>
      <c r="O19" s="143"/>
      <c r="P19" s="143"/>
    </row>
    <row r="20" spans="1:16" s="144" customFormat="1" ht="12.75">
      <c r="A20" s="140" t="s">
        <v>672</v>
      </c>
      <c r="B20" s="158"/>
      <c r="C20" s="116" t="s">
        <v>673</v>
      </c>
      <c r="D20" s="228" t="s">
        <v>203</v>
      </c>
      <c r="E20" s="228">
        <v>14</v>
      </c>
      <c r="F20" s="108"/>
      <c r="G20" s="143"/>
      <c r="H20" s="108"/>
      <c r="I20" s="230"/>
      <c r="J20" s="143"/>
      <c r="K20" s="143"/>
      <c r="L20" s="143"/>
      <c r="M20" s="143"/>
      <c r="N20" s="143"/>
      <c r="O20" s="143"/>
      <c r="P20" s="143"/>
    </row>
    <row r="21" spans="1:16" s="144" customFormat="1" ht="12.75">
      <c r="A21" s="140" t="s">
        <v>674</v>
      </c>
      <c r="B21" s="158"/>
      <c r="C21" s="116" t="s">
        <v>675</v>
      </c>
      <c r="D21" s="228" t="s">
        <v>203</v>
      </c>
      <c r="E21" s="228">
        <v>4</v>
      </c>
      <c r="F21" s="108"/>
      <c r="G21" s="143"/>
      <c r="H21" s="108"/>
      <c r="I21" s="230"/>
      <c r="J21" s="143"/>
      <c r="K21" s="143"/>
      <c r="L21" s="143"/>
      <c r="M21" s="143"/>
      <c r="N21" s="143"/>
      <c r="O21" s="143"/>
      <c r="P21" s="143"/>
    </row>
    <row r="22" spans="1:16" s="144" customFormat="1" ht="12.75">
      <c r="A22" s="140" t="s">
        <v>676</v>
      </c>
      <c r="B22" s="158"/>
      <c r="C22" s="116" t="s">
        <v>677</v>
      </c>
      <c r="D22" s="228" t="s">
        <v>203</v>
      </c>
      <c r="E22" s="228">
        <v>2</v>
      </c>
      <c r="F22" s="108"/>
      <c r="G22" s="143"/>
      <c r="H22" s="108"/>
      <c r="I22" s="230"/>
      <c r="J22" s="143"/>
      <c r="K22" s="143"/>
      <c r="L22" s="143"/>
      <c r="M22" s="143"/>
      <c r="N22" s="143"/>
      <c r="O22" s="143"/>
      <c r="P22" s="143"/>
    </row>
    <row r="23" spans="1:16" s="144" customFormat="1" ht="12.75">
      <c r="A23" s="140" t="s">
        <v>678</v>
      </c>
      <c r="B23" s="158"/>
      <c r="C23" s="116" t="s">
        <v>679</v>
      </c>
      <c r="D23" s="228" t="s">
        <v>665</v>
      </c>
      <c r="E23" s="228">
        <v>3</v>
      </c>
      <c r="F23" s="108"/>
      <c r="G23" s="143"/>
      <c r="H23" s="108"/>
      <c r="I23" s="230"/>
      <c r="J23" s="143"/>
      <c r="K23" s="143"/>
      <c r="L23" s="143"/>
      <c r="M23" s="143"/>
      <c r="N23" s="143"/>
      <c r="O23" s="143"/>
      <c r="P23" s="143"/>
    </row>
    <row r="24" spans="1:16" s="144" customFormat="1" ht="12.75">
      <c r="A24" s="140" t="s">
        <v>680</v>
      </c>
      <c r="B24" s="158"/>
      <c r="C24" s="116" t="s">
        <v>681</v>
      </c>
      <c r="D24" s="228" t="s">
        <v>665</v>
      </c>
      <c r="E24" s="228">
        <v>2</v>
      </c>
      <c r="F24" s="108"/>
      <c r="G24" s="143"/>
      <c r="H24" s="108"/>
      <c r="I24" s="230"/>
      <c r="J24" s="143"/>
      <c r="K24" s="143"/>
      <c r="L24" s="143"/>
      <c r="M24" s="143"/>
      <c r="N24" s="143"/>
      <c r="O24" s="143"/>
      <c r="P24" s="143"/>
    </row>
    <row r="25" spans="1:16" s="144" customFormat="1" ht="24.75">
      <c r="A25" s="140" t="s">
        <v>682</v>
      </c>
      <c r="B25" s="158"/>
      <c r="C25" s="116" t="s">
        <v>683</v>
      </c>
      <c r="D25" s="228" t="s">
        <v>665</v>
      </c>
      <c r="E25" s="228">
        <v>2</v>
      </c>
      <c r="F25" s="108"/>
      <c r="G25" s="143"/>
      <c r="H25" s="108"/>
      <c r="I25" s="230"/>
      <c r="J25" s="143"/>
      <c r="K25" s="143"/>
      <c r="L25" s="143"/>
      <c r="M25" s="143"/>
      <c r="N25" s="143"/>
      <c r="O25" s="143"/>
      <c r="P25" s="143"/>
    </row>
    <row r="26" spans="1:16" s="144" customFormat="1" ht="24.75">
      <c r="A26" s="140" t="s">
        <v>684</v>
      </c>
      <c r="B26" s="158"/>
      <c r="C26" s="116" t="s">
        <v>685</v>
      </c>
      <c r="D26" s="228" t="s">
        <v>665</v>
      </c>
      <c r="E26" s="228">
        <v>2</v>
      </c>
      <c r="F26" s="108"/>
      <c r="G26" s="143"/>
      <c r="H26" s="108"/>
      <c r="I26" s="230"/>
      <c r="J26" s="143"/>
      <c r="K26" s="143"/>
      <c r="L26" s="143"/>
      <c r="M26" s="143"/>
      <c r="N26" s="143"/>
      <c r="O26" s="143"/>
      <c r="P26" s="143"/>
    </row>
    <row r="27" spans="1:16" s="144" customFormat="1" ht="24.75">
      <c r="A27" s="140" t="s">
        <v>686</v>
      </c>
      <c r="B27" s="158"/>
      <c r="C27" s="116" t="s">
        <v>687</v>
      </c>
      <c r="D27" s="228" t="s">
        <v>665</v>
      </c>
      <c r="E27" s="228">
        <v>12</v>
      </c>
      <c r="F27" s="108"/>
      <c r="G27" s="143"/>
      <c r="H27" s="108"/>
      <c r="I27" s="230"/>
      <c r="J27" s="143"/>
      <c r="K27" s="143"/>
      <c r="L27" s="143"/>
      <c r="M27" s="143"/>
      <c r="N27" s="143"/>
      <c r="O27" s="143"/>
      <c r="P27" s="143"/>
    </row>
    <row r="28" spans="1:16" s="144" customFormat="1" ht="12.75">
      <c r="A28" s="140" t="s">
        <v>688</v>
      </c>
      <c r="B28" s="158"/>
      <c r="C28" s="116" t="s">
        <v>689</v>
      </c>
      <c r="D28" s="228" t="s">
        <v>665</v>
      </c>
      <c r="E28" s="228">
        <v>1</v>
      </c>
      <c r="F28" s="108"/>
      <c r="G28" s="143"/>
      <c r="H28" s="108"/>
      <c r="I28" s="230"/>
      <c r="J28" s="143"/>
      <c r="K28" s="143"/>
      <c r="L28" s="143"/>
      <c r="M28" s="143"/>
      <c r="N28" s="143"/>
      <c r="O28" s="143"/>
      <c r="P28" s="143"/>
    </row>
    <row r="29" spans="1:16" s="229" customFormat="1" ht="15" customHeight="1">
      <c r="A29" s="140" t="s">
        <v>690</v>
      </c>
      <c r="B29" s="219"/>
      <c r="C29" s="112" t="s">
        <v>162</v>
      </c>
      <c r="D29" s="228" t="s">
        <v>306</v>
      </c>
      <c r="E29" s="228">
        <v>2</v>
      </c>
      <c r="F29" s="108"/>
      <c r="G29" s="143"/>
      <c r="H29" s="108"/>
      <c r="I29" s="143"/>
      <c r="J29" s="143"/>
      <c r="K29" s="143"/>
      <c r="L29" s="143"/>
      <c r="M29" s="143"/>
      <c r="N29" s="143"/>
      <c r="O29" s="143"/>
      <c r="P29" s="143"/>
    </row>
    <row r="30" spans="1:16" s="227" customFormat="1" ht="66.75" customHeight="1">
      <c r="A30" s="73" t="s">
        <v>691</v>
      </c>
      <c r="B30" s="231"/>
      <c r="C30" s="148" t="s">
        <v>692</v>
      </c>
      <c r="D30" s="226" t="s">
        <v>118</v>
      </c>
      <c r="E30" s="226">
        <f>SUM(E31:E41)</f>
        <v>80</v>
      </c>
      <c r="F30" s="78"/>
      <c r="G30" s="80"/>
      <c r="H30" s="78"/>
      <c r="I30" s="78"/>
      <c r="J30" s="78"/>
      <c r="K30" s="78"/>
      <c r="L30" s="78"/>
      <c r="M30" s="78"/>
      <c r="N30" s="78"/>
      <c r="O30" s="78"/>
      <c r="P30" s="78"/>
    </row>
    <row r="31" spans="1:16" s="144" customFormat="1" ht="24.75">
      <c r="A31" s="140" t="s">
        <v>693</v>
      </c>
      <c r="B31" s="158"/>
      <c r="C31" s="116" t="s">
        <v>694</v>
      </c>
      <c r="D31" s="169" t="s">
        <v>665</v>
      </c>
      <c r="E31" s="169">
        <v>2</v>
      </c>
      <c r="F31" s="108"/>
      <c r="G31" s="143"/>
      <c r="H31" s="108"/>
      <c r="I31" s="230"/>
      <c r="J31" s="108"/>
      <c r="K31" s="108"/>
      <c r="L31" s="108"/>
      <c r="M31" s="108"/>
      <c r="N31" s="108"/>
      <c r="O31" s="108"/>
      <c r="P31" s="108"/>
    </row>
    <row r="32" spans="1:16" s="144" customFormat="1" ht="30" customHeight="1">
      <c r="A32" s="140" t="s">
        <v>695</v>
      </c>
      <c r="B32" s="158"/>
      <c r="C32" s="116" t="s">
        <v>696</v>
      </c>
      <c r="D32" s="169" t="s">
        <v>665</v>
      </c>
      <c r="E32" s="169">
        <v>2</v>
      </c>
      <c r="F32" s="108"/>
      <c r="G32" s="143"/>
      <c r="H32" s="108"/>
      <c r="I32" s="230"/>
      <c r="J32" s="108"/>
      <c r="K32" s="108"/>
      <c r="L32" s="108"/>
      <c r="M32" s="108"/>
      <c r="N32" s="108"/>
      <c r="O32" s="108"/>
      <c r="P32" s="108"/>
    </row>
    <row r="33" spans="1:16" s="144" customFormat="1" ht="24.75">
      <c r="A33" s="140" t="s">
        <v>697</v>
      </c>
      <c r="B33" s="158"/>
      <c r="C33" s="116" t="s">
        <v>698</v>
      </c>
      <c r="D33" s="169" t="s">
        <v>665</v>
      </c>
      <c r="E33" s="169">
        <v>4</v>
      </c>
      <c r="F33" s="108"/>
      <c r="G33" s="143"/>
      <c r="H33" s="108"/>
      <c r="I33" s="230"/>
      <c r="J33" s="108"/>
      <c r="K33" s="108"/>
      <c r="L33" s="108"/>
      <c r="M33" s="108"/>
      <c r="N33" s="108"/>
      <c r="O33" s="108"/>
      <c r="P33" s="108"/>
    </row>
    <row r="34" spans="1:16" s="144" customFormat="1" ht="36.75">
      <c r="A34" s="140" t="s">
        <v>699</v>
      </c>
      <c r="B34" s="158"/>
      <c r="C34" s="116" t="s">
        <v>700</v>
      </c>
      <c r="D34" s="169" t="s">
        <v>665</v>
      </c>
      <c r="E34" s="169">
        <v>5</v>
      </c>
      <c r="F34" s="108"/>
      <c r="G34" s="143"/>
      <c r="H34" s="108"/>
      <c r="I34" s="230"/>
      <c r="J34" s="108"/>
      <c r="K34" s="108"/>
      <c r="L34" s="108"/>
      <c r="M34" s="108"/>
      <c r="N34" s="108"/>
      <c r="O34" s="108"/>
      <c r="P34" s="108"/>
    </row>
    <row r="35" spans="1:16" s="144" customFormat="1" ht="24.75">
      <c r="A35" s="140" t="s">
        <v>701</v>
      </c>
      <c r="B35" s="158"/>
      <c r="C35" s="116" t="s">
        <v>702</v>
      </c>
      <c r="D35" s="169" t="s">
        <v>665</v>
      </c>
      <c r="E35" s="169">
        <v>5</v>
      </c>
      <c r="F35" s="108"/>
      <c r="G35" s="143"/>
      <c r="H35" s="108"/>
      <c r="I35" s="230"/>
      <c r="J35" s="108"/>
      <c r="K35" s="108"/>
      <c r="L35" s="108"/>
      <c r="M35" s="108"/>
      <c r="N35" s="108"/>
      <c r="O35" s="108"/>
      <c r="P35" s="108"/>
    </row>
    <row r="36" spans="1:16" s="144" customFormat="1" ht="24.75">
      <c r="A36" s="140" t="s">
        <v>703</v>
      </c>
      <c r="B36" s="158"/>
      <c r="C36" s="116" t="s">
        <v>704</v>
      </c>
      <c r="D36" s="169" t="s">
        <v>665</v>
      </c>
      <c r="E36" s="169">
        <v>2</v>
      </c>
      <c r="F36" s="108"/>
      <c r="G36" s="143"/>
      <c r="H36" s="108"/>
      <c r="I36" s="230"/>
      <c r="J36" s="108"/>
      <c r="K36" s="108"/>
      <c r="L36" s="108"/>
      <c r="M36" s="108"/>
      <c r="N36" s="108"/>
      <c r="O36" s="108"/>
      <c r="P36" s="108"/>
    </row>
    <row r="37" spans="1:16" s="144" customFormat="1" ht="24.75">
      <c r="A37" s="140" t="s">
        <v>705</v>
      </c>
      <c r="B37" s="158"/>
      <c r="C37" s="116" t="s">
        <v>706</v>
      </c>
      <c r="D37" s="169" t="s">
        <v>665</v>
      </c>
      <c r="E37" s="169">
        <v>6</v>
      </c>
      <c r="F37" s="108"/>
      <c r="G37" s="143"/>
      <c r="H37" s="108"/>
      <c r="I37" s="230"/>
      <c r="J37" s="108"/>
      <c r="K37" s="108"/>
      <c r="L37" s="108"/>
      <c r="M37" s="108"/>
      <c r="N37" s="108"/>
      <c r="O37" s="108"/>
      <c r="P37" s="108"/>
    </row>
    <row r="38" spans="1:16" s="144" customFormat="1" ht="36.75">
      <c r="A38" s="140" t="s">
        <v>707</v>
      </c>
      <c r="B38" s="158"/>
      <c r="C38" s="116" t="s">
        <v>708</v>
      </c>
      <c r="D38" s="169" t="s">
        <v>665</v>
      </c>
      <c r="E38" s="169">
        <v>29</v>
      </c>
      <c r="F38" s="108"/>
      <c r="G38" s="143"/>
      <c r="H38" s="108"/>
      <c r="I38" s="230"/>
      <c r="J38" s="108"/>
      <c r="K38" s="108"/>
      <c r="L38" s="108"/>
      <c r="M38" s="108"/>
      <c r="N38" s="108"/>
      <c r="O38" s="108"/>
      <c r="P38" s="108"/>
    </row>
    <row r="39" spans="1:16" s="144" customFormat="1" ht="36.75">
      <c r="A39" s="140" t="s">
        <v>709</v>
      </c>
      <c r="B39" s="158"/>
      <c r="C39" s="116" t="s">
        <v>710</v>
      </c>
      <c r="D39" s="169" t="s">
        <v>665</v>
      </c>
      <c r="E39" s="169">
        <v>3</v>
      </c>
      <c r="F39" s="108"/>
      <c r="G39" s="143"/>
      <c r="H39" s="108"/>
      <c r="I39" s="230"/>
      <c r="J39" s="108"/>
      <c r="K39" s="108"/>
      <c r="L39" s="108"/>
      <c r="M39" s="108"/>
      <c r="N39" s="108"/>
      <c r="O39" s="108"/>
      <c r="P39" s="108"/>
    </row>
    <row r="40" spans="1:16" s="144" customFormat="1" ht="28.5" customHeight="1">
      <c r="A40" s="140" t="s">
        <v>711</v>
      </c>
      <c r="B40" s="158"/>
      <c r="C40" s="116" t="s">
        <v>712</v>
      </c>
      <c r="D40" s="169" t="s">
        <v>665</v>
      </c>
      <c r="E40" s="169">
        <v>17</v>
      </c>
      <c r="F40" s="108"/>
      <c r="G40" s="143"/>
      <c r="H40" s="108"/>
      <c r="I40" s="230"/>
      <c r="J40" s="108"/>
      <c r="K40" s="108"/>
      <c r="L40" s="108"/>
      <c r="M40" s="108"/>
      <c r="N40" s="108"/>
      <c r="O40" s="108"/>
      <c r="P40" s="108"/>
    </row>
    <row r="41" spans="1:16" s="144" customFormat="1" ht="27" customHeight="1">
      <c r="A41" s="140" t="s">
        <v>713</v>
      </c>
      <c r="B41" s="158"/>
      <c r="C41" s="116" t="s">
        <v>714</v>
      </c>
      <c r="D41" s="169" t="s">
        <v>665</v>
      </c>
      <c r="E41" s="169">
        <v>5</v>
      </c>
      <c r="F41" s="108"/>
      <c r="G41" s="143"/>
      <c r="H41" s="108"/>
      <c r="I41" s="230"/>
      <c r="J41" s="108"/>
      <c r="K41" s="108"/>
      <c r="L41" s="108"/>
      <c r="M41" s="108"/>
      <c r="N41" s="108"/>
      <c r="O41" s="108"/>
      <c r="P41" s="108"/>
    </row>
    <row r="42" spans="1:16" s="144" customFormat="1" ht="18.75" customHeight="1">
      <c r="A42" s="140" t="s">
        <v>715</v>
      </c>
      <c r="B42" s="162"/>
      <c r="C42" s="116" t="s">
        <v>162</v>
      </c>
      <c r="D42" s="169" t="s">
        <v>118</v>
      </c>
      <c r="E42" s="169">
        <v>1</v>
      </c>
      <c r="F42" s="108"/>
      <c r="G42" s="143"/>
      <c r="H42" s="108"/>
      <c r="I42" s="230"/>
      <c r="J42" s="108"/>
      <c r="K42" s="108"/>
      <c r="L42" s="108"/>
      <c r="M42" s="108"/>
      <c r="N42" s="108"/>
      <c r="O42" s="108"/>
      <c r="P42" s="108"/>
    </row>
    <row r="43" spans="1:16" s="227" customFormat="1" ht="42" customHeight="1">
      <c r="A43" s="73" t="s">
        <v>716</v>
      </c>
      <c r="B43" s="147"/>
      <c r="C43" s="79" t="s">
        <v>717</v>
      </c>
      <c r="D43" s="226" t="s">
        <v>203</v>
      </c>
      <c r="E43" s="226">
        <v>106</v>
      </c>
      <c r="F43" s="78"/>
      <c r="G43" s="80"/>
      <c r="H43" s="78"/>
      <c r="I43" s="78"/>
      <c r="J43" s="78"/>
      <c r="K43" s="78"/>
      <c r="L43" s="78"/>
      <c r="M43" s="78"/>
      <c r="N43" s="78"/>
      <c r="O43" s="78"/>
      <c r="P43" s="78"/>
    </row>
    <row r="44" spans="1:16" s="144" customFormat="1" ht="18.75" customHeight="1">
      <c r="A44" s="140" t="s">
        <v>718</v>
      </c>
      <c r="B44" s="141"/>
      <c r="C44" s="116" t="s">
        <v>719</v>
      </c>
      <c r="D44" s="228" t="s">
        <v>665</v>
      </c>
      <c r="E44" s="228">
        <v>1</v>
      </c>
      <c r="F44" s="108"/>
      <c r="G44" s="143"/>
      <c r="H44" s="108"/>
      <c r="I44" s="143"/>
      <c r="J44" s="108"/>
      <c r="K44" s="108"/>
      <c r="L44" s="108"/>
      <c r="M44" s="108"/>
      <c r="N44" s="108"/>
      <c r="O44" s="108"/>
      <c r="P44" s="108"/>
    </row>
    <row r="45" spans="1:16" s="144" customFormat="1" ht="26.25" customHeight="1">
      <c r="A45" s="140" t="s">
        <v>720</v>
      </c>
      <c r="B45" s="141"/>
      <c r="C45" s="116" t="s">
        <v>721</v>
      </c>
      <c r="D45" s="228" t="s">
        <v>665</v>
      </c>
      <c r="E45" s="228">
        <v>1</v>
      </c>
      <c r="F45" s="108"/>
      <c r="G45" s="143"/>
      <c r="H45" s="108"/>
      <c r="I45" s="143"/>
      <c r="J45" s="108"/>
      <c r="K45" s="108"/>
      <c r="L45" s="108"/>
      <c r="M45" s="108"/>
      <c r="N45" s="108"/>
      <c r="O45" s="108"/>
      <c r="P45" s="108"/>
    </row>
    <row r="46" spans="1:16" s="144" customFormat="1" ht="24.75" customHeight="1">
      <c r="A46" s="140" t="s">
        <v>722</v>
      </c>
      <c r="B46" s="141"/>
      <c r="C46" s="116" t="s">
        <v>723</v>
      </c>
      <c r="D46" s="228" t="s">
        <v>665</v>
      </c>
      <c r="E46" s="228">
        <v>2</v>
      </c>
      <c r="F46" s="108"/>
      <c r="G46" s="143"/>
      <c r="H46" s="108"/>
      <c r="I46" s="143"/>
      <c r="J46" s="108"/>
      <c r="K46" s="108"/>
      <c r="L46" s="108"/>
      <c r="M46" s="108"/>
      <c r="N46" s="108"/>
      <c r="O46" s="108"/>
      <c r="P46" s="108"/>
    </row>
    <row r="47" spans="1:16" s="144" customFormat="1" ht="18" customHeight="1">
      <c r="A47" s="140" t="s">
        <v>724</v>
      </c>
      <c r="B47" s="141"/>
      <c r="C47" s="116" t="s">
        <v>725</v>
      </c>
      <c r="D47" s="228" t="s">
        <v>665</v>
      </c>
      <c r="E47" s="228">
        <v>3</v>
      </c>
      <c r="F47" s="108"/>
      <c r="G47" s="143"/>
      <c r="H47" s="108"/>
      <c r="I47" s="143"/>
      <c r="J47" s="108"/>
      <c r="K47" s="108"/>
      <c r="L47" s="108"/>
      <c r="M47" s="108"/>
      <c r="N47" s="108"/>
      <c r="O47" s="108"/>
      <c r="P47" s="108"/>
    </row>
    <row r="48" spans="1:16" s="144" customFormat="1" ht="16.5" customHeight="1">
      <c r="A48" s="140" t="s">
        <v>726</v>
      </c>
      <c r="B48" s="141"/>
      <c r="C48" s="116" t="s">
        <v>727</v>
      </c>
      <c r="D48" s="228" t="s">
        <v>665</v>
      </c>
      <c r="E48" s="228">
        <v>62</v>
      </c>
      <c r="F48" s="108"/>
      <c r="G48" s="143"/>
      <c r="H48" s="108"/>
      <c r="I48" s="143"/>
      <c r="J48" s="108"/>
      <c r="K48" s="108"/>
      <c r="L48" s="108"/>
      <c r="M48" s="108"/>
      <c r="N48" s="108"/>
      <c r="O48" s="108"/>
      <c r="P48" s="108"/>
    </row>
    <row r="49" spans="1:16" s="144" customFormat="1" ht="27.75" customHeight="1">
      <c r="A49" s="140" t="s">
        <v>728</v>
      </c>
      <c r="B49" s="141"/>
      <c r="C49" s="116" t="s">
        <v>729</v>
      </c>
      <c r="D49" s="169" t="s">
        <v>665</v>
      </c>
      <c r="E49" s="169">
        <v>5</v>
      </c>
      <c r="F49" s="108"/>
      <c r="G49" s="143"/>
      <c r="H49" s="108"/>
      <c r="I49" s="143"/>
      <c r="J49" s="108"/>
      <c r="K49" s="108"/>
      <c r="L49" s="108"/>
      <c r="M49" s="108"/>
      <c r="N49" s="108"/>
      <c r="O49" s="108"/>
      <c r="P49" s="108"/>
    </row>
    <row r="50" spans="1:16" s="144" customFormat="1" ht="27.75" customHeight="1">
      <c r="A50" s="140" t="s">
        <v>730</v>
      </c>
      <c r="B50" s="141"/>
      <c r="C50" s="116" t="s">
        <v>731</v>
      </c>
      <c r="D50" s="169" t="s">
        <v>665</v>
      </c>
      <c r="E50" s="169">
        <v>22</v>
      </c>
      <c r="F50" s="108"/>
      <c r="G50" s="143"/>
      <c r="H50" s="108"/>
      <c r="I50" s="143"/>
      <c r="J50" s="108"/>
      <c r="K50" s="108"/>
      <c r="L50" s="108"/>
      <c r="M50" s="108"/>
      <c r="N50" s="108"/>
      <c r="O50" s="108"/>
      <c r="P50" s="108"/>
    </row>
    <row r="51" spans="1:16" s="144" customFormat="1" ht="25.5" customHeight="1">
      <c r="A51" s="140" t="s">
        <v>732</v>
      </c>
      <c r="B51" s="141"/>
      <c r="C51" s="116" t="s">
        <v>733</v>
      </c>
      <c r="D51" s="169" t="s">
        <v>665</v>
      </c>
      <c r="E51" s="169">
        <v>10</v>
      </c>
      <c r="F51" s="108"/>
      <c r="G51" s="143"/>
      <c r="H51" s="108"/>
      <c r="I51" s="143"/>
      <c r="J51" s="108"/>
      <c r="K51" s="108"/>
      <c r="L51" s="108"/>
      <c r="M51" s="108"/>
      <c r="N51" s="108"/>
      <c r="O51" s="108"/>
      <c r="P51" s="108"/>
    </row>
    <row r="52" spans="1:16" s="144" customFormat="1" ht="15" customHeight="1">
      <c r="A52" s="140" t="s">
        <v>734</v>
      </c>
      <c r="B52" s="141"/>
      <c r="C52" s="116" t="s">
        <v>735</v>
      </c>
      <c r="D52" s="169" t="s">
        <v>665</v>
      </c>
      <c r="E52" s="169">
        <v>25</v>
      </c>
      <c r="F52" s="108"/>
      <c r="G52" s="143"/>
      <c r="H52" s="108"/>
      <c r="I52" s="143"/>
      <c r="J52" s="108"/>
      <c r="K52" s="108"/>
      <c r="L52" s="108"/>
      <c r="M52" s="108"/>
      <c r="N52" s="108"/>
      <c r="O52" s="108"/>
      <c r="P52" s="108"/>
    </row>
    <row r="53" spans="1:16" s="144" customFormat="1" ht="15" customHeight="1">
      <c r="A53" s="140" t="s">
        <v>736</v>
      </c>
      <c r="B53" s="141"/>
      <c r="C53" s="116" t="s">
        <v>737</v>
      </c>
      <c r="D53" s="169" t="s">
        <v>665</v>
      </c>
      <c r="E53" s="169">
        <v>3</v>
      </c>
      <c r="F53" s="108"/>
      <c r="G53" s="143"/>
      <c r="H53" s="108"/>
      <c r="I53" s="143"/>
      <c r="J53" s="108"/>
      <c r="K53" s="108"/>
      <c r="L53" s="108"/>
      <c r="M53" s="108"/>
      <c r="N53" s="108"/>
      <c r="O53" s="108"/>
      <c r="P53" s="108"/>
    </row>
    <row r="54" spans="1:16" s="144" customFormat="1" ht="15" customHeight="1">
      <c r="A54" s="140" t="s">
        <v>738</v>
      </c>
      <c r="B54" s="141"/>
      <c r="C54" s="116" t="s">
        <v>739</v>
      </c>
      <c r="D54" s="169" t="s">
        <v>665</v>
      </c>
      <c r="E54" s="169">
        <v>3</v>
      </c>
      <c r="F54" s="108"/>
      <c r="G54" s="143"/>
      <c r="H54" s="108"/>
      <c r="I54" s="143"/>
      <c r="J54" s="108"/>
      <c r="K54" s="108"/>
      <c r="L54" s="108"/>
      <c r="M54" s="108"/>
      <c r="N54" s="108"/>
      <c r="O54" s="108"/>
      <c r="P54" s="108"/>
    </row>
    <row r="55" spans="1:16" s="144" customFormat="1" ht="15" customHeight="1">
      <c r="A55" s="140" t="s">
        <v>740</v>
      </c>
      <c r="B55" s="141"/>
      <c r="C55" s="116" t="s">
        <v>741</v>
      </c>
      <c r="D55" s="169" t="s">
        <v>665</v>
      </c>
      <c r="E55" s="169">
        <v>30</v>
      </c>
      <c r="F55" s="108"/>
      <c r="G55" s="143"/>
      <c r="H55" s="108"/>
      <c r="I55" s="143"/>
      <c r="J55" s="108"/>
      <c r="K55" s="108"/>
      <c r="L55" s="108"/>
      <c r="M55" s="108"/>
      <c r="N55" s="108"/>
      <c r="O55" s="108"/>
      <c r="P55" s="108"/>
    </row>
    <row r="56" spans="1:16" s="144" customFormat="1" ht="15" customHeight="1">
      <c r="A56" s="140" t="s">
        <v>742</v>
      </c>
      <c r="B56" s="141"/>
      <c r="C56" s="116" t="s">
        <v>743</v>
      </c>
      <c r="D56" s="169" t="s">
        <v>665</v>
      </c>
      <c r="E56" s="169">
        <v>50</v>
      </c>
      <c r="F56" s="108"/>
      <c r="G56" s="143"/>
      <c r="H56" s="108"/>
      <c r="I56" s="143"/>
      <c r="J56" s="108"/>
      <c r="K56" s="108"/>
      <c r="L56" s="108"/>
      <c r="M56" s="108"/>
      <c r="N56" s="108"/>
      <c r="O56" s="108"/>
      <c r="P56" s="108"/>
    </row>
    <row r="57" spans="1:16" s="144" customFormat="1" ht="15" customHeight="1">
      <c r="A57" s="140" t="s">
        <v>744</v>
      </c>
      <c r="B57" s="141"/>
      <c r="C57" s="116" t="s">
        <v>745</v>
      </c>
      <c r="D57" s="169" t="s">
        <v>665</v>
      </c>
      <c r="E57" s="169">
        <v>20</v>
      </c>
      <c r="F57" s="108"/>
      <c r="G57" s="143"/>
      <c r="H57" s="108"/>
      <c r="I57" s="143"/>
      <c r="J57" s="108"/>
      <c r="K57" s="108"/>
      <c r="L57" s="108"/>
      <c r="M57" s="108"/>
      <c r="N57" s="108"/>
      <c r="O57" s="108"/>
      <c r="P57" s="108"/>
    </row>
    <row r="58" spans="1:16" s="144" customFormat="1" ht="15" customHeight="1">
      <c r="A58" s="140" t="s">
        <v>746</v>
      </c>
      <c r="B58" s="141"/>
      <c r="C58" s="116" t="s">
        <v>162</v>
      </c>
      <c r="D58" s="169" t="s">
        <v>118</v>
      </c>
      <c r="E58" s="169">
        <v>1</v>
      </c>
      <c r="F58" s="108"/>
      <c r="G58" s="143"/>
      <c r="H58" s="108"/>
      <c r="I58" s="143"/>
      <c r="J58" s="108"/>
      <c r="K58" s="108"/>
      <c r="L58" s="108"/>
      <c r="M58" s="108"/>
      <c r="N58" s="108"/>
      <c r="O58" s="108"/>
      <c r="P58" s="108"/>
    </row>
    <row r="59" spans="1:16" s="31" customFormat="1" ht="15" customHeight="1">
      <c r="A59" s="73" t="s">
        <v>747</v>
      </c>
      <c r="B59" s="91"/>
      <c r="C59" s="79" t="s">
        <v>748</v>
      </c>
      <c r="D59" s="226" t="s">
        <v>77</v>
      </c>
      <c r="E59" s="226">
        <f>SUM(E60:E64)</f>
        <v>1290</v>
      </c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</row>
    <row r="60" spans="1:16" s="234" customFormat="1" ht="15" customHeight="1">
      <c r="A60" s="140" t="s">
        <v>749</v>
      </c>
      <c r="B60" s="112"/>
      <c r="C60" s="47" t="s">
        <v>750</v>
      </c>
      <c r="D60" s="232" t="s">
        <v>77</v>
      </c>
      <c r="E60" s="232">
        <v>600</v>
      </c>
      <c r="F60" s="108"/>
      <c r="G60" s="143"/>
      <c r="H60" s="108"/>
      <c r="I60" s="233"/>
      <c r="J60" s="143"/>
      <c r="K60" s="143"/>
      <c r="L60" s="143"/>
      <c r="M60" s="143"/>
      <c r="N60" s="143"/>
      <c r="O60" s="143"/>
      <c r="P60" s="143"/>
    </row>
    <row r="61" spans="1:16" s="234" customFormat="1" ht="15" customHeight="1">
      <c r="A61" s="140" t="s">
        <v>751</v>
      </c>
      <c r="B61" s="112"/>
      <c r="C61" s="235" t="s">
        <v>752</v>
      </c>
      <c r="D61" s="232" t="s">
        <v>77</v>
      </c>
      <c r="E61" s="232">
        <v>500</v>
      </c>
      <c r="F61" s="108"/>
      <c r="G61" s="143"/>
      <c r="H61" s="108"/>
      <c r="I61" s="233"/>
      <c r="J61" s="143"/>
      <c r="K61" s="143"/>
      <c r="L61" s="143"/>
      <c r="M61" s="143"/>
      <c r="N61" s="143"/>
      <c r="O61" s="143"/>
      <c r="P61" s="143"/>
    </row>
    <row r="62" spans="1:16" s="234" customFormat="1" ht="15" customHeight="1">
      <c r="A62" s="140" t="s">
        <v>753</v>
      </c>
      <c r="B62" s="112"/>
      <c r="C62" s="235" t="s">
        <v>754</v>
      </c>
      <c r="D62" s="232" t="s">
        <v>77</v>
      </c>
      <c r="E62" s="232">
        <v>50</v>
      </c>
      <c r="F62" s="108"/>
      <c r="G62" s="143"/>
      <c r="H62" s="108"/>
      <c r="I62" s="233"/>
      <c r="J62" s="143"/>
      <c r="K62" s="143"/>
      <c r="L62" s="143"/>
      <c r="M62" s="143"/>
      <c r="N62" s="143"/>
      <c r="O62" s="143"/>
      <c r="P62" s="143"/>
    </row>
    <row r="63" spans="1:16" s="234" customFormat="1" ht="15" customHeight="1">
      <c r="A63" s="140" t="s">
        <v>755</v>
      </c>
      <c r="B63" s="112"/>
      <c r="C63" s="235" t="s">
        <v>756</v>
      </c>
      <c r="D63" s="232" t="s">
        <v>77</v>
      </c>
      <c r="E63" s="232">
        <v>100</v>
      </c>
      <c r="F63" s="108"/>
      <c r="G63" s="143"/>
      <c r="H63" s="108"/>
      <c r="I63" s="233"/>
      <c r="J63" s="143"/>
      <c r="K63" s="143"/>
      <c r="L63" s="143"/>
      <c r="M63" s="143"/>
      <c r="N63" s="143"/>
      <c r="O63" s="143"/>
      <c r="P63" s="143"/>
    </row>
    <row r="64" spans="1:16" s="234" customFormat="1" ht="15" customHeight="1">
      <c r="A64" s="140" t="s">
        <v>757</v>
      </c>
      <c r="B64" s="112"/>
      <c r="C64" s="235" t="s">
        <v>758</v>
      </c>
      <c r="D64" s="232" t="s">
        <v>77</v>
      </c>
      <c r="E64" s="232">
        <v>40</v>
      </c>
      <c r="F64" s="108"/>
      <c r="G64" s="143"/>
      <c r="H64" s="108"/>
      <c r="I64" s="233"/>
      <c r="J64" s="143"/>
      <c r="K64" s="143"/>
      <c r="L64" s="143"/>
      <c r="M64" s="143"/>
      <c r="N64" s="143"/>
      <c r="O64" s="143"/>
      <c r="P64" s="143"/>
    </row>
    <row r="65" spans="1:256" s="224" customFormat="1" ht="15" customHeight="1">
      <c r="A65" s="140" t="s">
        <v>759</v>
      </c>
      <c r="B65" s="236"/>
      <c r="C65" s="237" t="s">
        <v>760</v>
      </c>
      <c r="D65" s="228" t="s">
        <v>77</v>
      </c>
      <c r="E65" s="228">
        <v>1100</v>
      </c>
      <c r="F65" s="143"/>
      <c r="G65" s="143"/>
      <c r="H65" s="143"/>
      <c r="I65" s="108"/>
      <c r="J65" s="143"/>
      <c r="K65" s="143"/>
      <c r="L65" s="143"/>
      <c r="M65" s="143"/>
      <c r="N65" s="143"/>
      <c r="O65" s="143"/>
      <c r="P65" s="143"/>
      <c r="Q65" s="222"/>
      <c r="R65" s="223"/>
      <c r="U65" s="225"/>
      <c r="V65" s="222"/>
      <c r="W65" s="223"/>
      <c r="Z65" s="225"/>
      <c r="AA65" s="222"/>
      <c r="AB65" s="223"/>
      <c r="AE65" s="225"/>
      <c r="AF65" s="222"/>
      <c r="AG65" s="223"/>
      <c r="AJ65" s="225"/>
      <c r="AK65" s="222"/>
      <c r="AL65" s="223"/>
      <c r="AO65" s="225"/>
      <c r="AP65" s="222"/>
      <c r="AQ65" s="223"/>
      <c r="AT65" s="225"/>
      <c r="AU65" s="222"/>
      <c r="AV65" s="223"/>
      <c r="AY65" s="225"/>
      <c r="AZ65" s="222"/>
      <c r="BA65" s="223"/>
      <c r="BD65" s="225"/>
      <c r="BE65" s="222"/>
      <c r="BF65" s="223"/>
      <c r="BI65" s="225"/>
      <c r="BJ65" s="222"/>
      <c r="BK65" s="223"/>
      <c r="BN65" s="225"/>
      <c r="BO65" s="222"/>
      <c r="BP65" s="223"/>
      <c r="BS65" s="225"/>
      <c r="BT65" s="222"/>
      <c r="BU65" s="223"/>
      <c r="BX65" s="225"/>
      <c r="BY65" s="222"/>
      <c r="BZ65" s="223"/>
      <c r="CC65" s="225"/>
      <c r="CD65" s="222"/>
      <c r="CE65" s="223"/>
      <c r="CH65" s="225"/>
      <c r="CI65" s="222"/>
      <c r="CJ65" s="223"/>
      <c r="CM65" s="225"/>
      <c r="CN65" s="222"/>
      <c r="CO65" s="223"/>
      <c r="CR65" s="225"/>
      <c r="CS65" s="222"/>
      <c r="CT65" s="223"/>
      <c r="CW65" s="225"/>
      <c r="CX65" s="222"/>
      <c r="CY65" s="223"/>
      <c r="DB65" s="225"/>
      <c r="DC65" s="222"/>
      <c r="DD65" s="223"/>
      <c r="DG65" s="225"/>
      <c r="DH65" s="222"/>
      <c r="DI65" s="223"/>
      <c r="DL65" s="225"/>
      <c r="DM65" s="222"/>
      <c r="DN65" s="223"/>
      <c r="DQ65" s="225"/>
      <c r="DR65" s="222"/>
      <c r="DS65" s="223"/>
      <c r="DV65" s="225"/>
      <c r="DW65" s="222"/>
      <c r="DX65" s="223"/>
      <c r="EA65" s="225"/>
      <c r="EB65" s="222"/>
      <c r="EC65" s="223"/>
      <c r="EF65" s="225"/>
      <c r="EG65" s="222"/>
      <c r="EH65" s="223"/>
      <c r="EK65" s="225"/>
      <c r="EL65" s="222"/>
      <c r="EM65" s="223"/>
      <c r="EP65" s="225"/>
      <c r="EQ65" s="222"/>
      <c r="ER65" s="223"/>
      <c r="EU65" s="225"/>
      <c r="EV65" s="222"/>
      <c r="EW65" s="223"/>
      <c r="EZ65" s="225"/>
      <c r="FA65" s="222"/>
      <c r="FB65" s="223"/>
      <c r="FE65" s="225"/>
      <c r="FF65" s="222"/>
      <c r="FG65" s="223"/>
      <c r="FJ65" s="225"/>
      <c r="FK65" s="222"/>
      <c r="FL65" s="223"/>
      <c r="FO65" s="225"/>
      <c r="FP65" s="222"/>
      <c r="FQ65" s="223"/>
      <c r="FT65" s="225"/>
      <c r="FU65" s="222"/>
      <c r="FV65" s="223"/>
      <c r="FY65" s="225"/>
      <c r="FZ65" s="222"/>
      <c r="GA65" s="223"/>
      <c r="GD65" s="225"/>
      <c r="GE65" s="222"/>
      <c r="GF65" s="223"/>
      <c r="GI65" s="225"/>
      <c r="GJ65" s="222"/>
      <c r="GK65" s="223"/>
      <c r="GN65" s="225"/>
      <c r="GO65" s="222"/>
      <c r="GP65" s="223"/>
      <c r="GS65" s="225"/>
      <c r="GT65" s="222"/>
      <c r="GU65" s="223"/>
      <c r="GX65" s="225"/>
      <c r="GY65" s="222"/>
      <c r="GZ65" s="223"/>
      <c r="HC65" s="225"/>
      <c r="HD65" s="222"/>
      <c r="HE65" s="223"/>
      <c r="HH65" s="225"/>
      <c r="HI65" s="222"/>
      <c r="HJ65" s="223"/>
      <c r="HM65" s="225"/>
      <c r="HN65" s="222"/>
      <c r="HO65" s="223"/>
      <c r="HR65" s="225"/>
      <c r="HS65" s="222"/>
      <c r="HT65" s="223"/>
      <c r="HW65" s="225"/>
      <c r="HX65" s="222"/>
      <c r="HY65" s="223"/>
      <c r="IB65" s="225"/>
      <c r="IC65" s="222"/>
      <c r="ID65" s="223"/>
      <c r="IG65" s="225"/>
      <c r="IH65" s="222"/>
      <c r="II65" s="223"/>
      <c r="IL65" s="225"/>
      <c r="IM65" s="222"/>
      <c r="IN65" s="223"/>
      <c r="IQ65" s="225"/>
      <c r="IR65" s="222"/>
      <c r="IS65" s="223"/>
      <c r="IV65" s="225"/>
    </row>
    <row r="66" spans="1:256" s="224" customFormat="1" ht="15" customHeight="1">
      <c r="A66" s="140" t="s">
        <v>761</v>
      </c>
      <c r="B66" s="219"/>
      <c r="C66" s="238" t="s">
        <v>162</v>
      </c>
      <c r="D66" s="239" t="s">
        <v>118</v>
      </c>
      <c r="E66" s="239">
        <v>1</v>
      </c>
      <c r="F66" s="143"/>
      <c r="G66" s="143"/>
      <c r="H66" s="143"/>
      <c r="I66" s="108"/>
      <c r="J66" s="143"/>
      <c r="K66" s="143"/>
      <c r="L66" s="143"/>
      <c r="M66" s="143"/>
      <c r="N66" s="143"/>
      <c r="O66" s="143"/>
      <c r="P66" s="143"/>
      <c r="Q66" s="222"/>
      <c r="R66" s="223"/>
      <c r="U66" s="225"/>
      <c r="V66" s="222"/>
      <c r="W66" s="223"/>
      <c r="Z66" s="225"/>
      <c r="AA66" s="222"/>
      <c r="AB66" s="223"/>
      <c r="AE66" s="225"/>
      <c r="AF66" s="222"/>
      <c r="AG66" s="223"/>
      <c r="AJ66" s="225"/>
      <c r="AK66" s="222"/>
      <c r="AL66" s="223"/>
      <c r="AO66" s="225"/>
      <c r="AP66" s="222"/>
      <c r="AQ66" s="223"/>
      <c r="AT66" s="225"/>
      <c r="AU66" s="222"/>
      <c r="AV66" s="223"/>
      <c r="AY66" s="225"/>
      <c r="AZ66" s="222"/>
      <c r="BA66" s="223"/>
      <c r="BD66" s="225"/>
      <c r="BE66" s="222"/>
      <c r="BF66" s="223"/>
      <c r="BI66" s="225"/>
      <c r="BJ66" s="222"/>
      <c r="BK66" s="223"/>
      <c r="BN66" s="225"/>
      <c r="BO66" s="222"/>
      <c r="BP66" s="223"/>
      <c r="BS66" s="225"/>
      <c r="BT66" s="222"/>
      <c r="BU66" s="223"/>
      <c r="BX66" s="225"/>
      <c r="BY66" s="222"/>
      <c r="BZ66" s="223"/>
      <c r="CC66" s="225"/>
      <c r="CD66" s="222"/>
      <c r="CE66" s="223"/>
      <c r="CH66" s="225"/>
      <c r="CI66" s="222"/>
      <c r="CJ66" s="223"/>
      <c r="CM66" s="225"/>
      <c r="CN66" s="222"/>
      <c r="CO66" s="223"/>
      <c r="CR66" s="225"/>
      <c r="CS66" s="222"/>
      <c r="CT66" s="223"/>
      <c r="CW66" s="225"/>
      <c r="CX66" s="222"/>
      <c r="CY66" s="223"/>
      <c r="DB66" s="225"/>
      <c r="DC66" s="222"/>
      <c r="DD66" s="223"/>
      <c r="DG66" s="225"/>
      <c r="DH66" s="222"/>
      <c r="DI66" s="223"/>
      <c r="DL66" s="225"/>
      <c r="DM66" s="222"/>
      <c r="DN66" s="223"/>
      <c r="DQ66" s="225"/>
      <c r="DR66" s="222"/>
      <c r="DS66" s="223"/>
      <c r="DV66" s="225"/>
      <c r="DW66" s="222"/>
      <c r="DX66" s="223"/>
      <c r="EA66" s="225"/>
      <c r="EB66" s="222"/>
      <c r="EC66" s="223"/>
      <c r="EF66" s="225"/>
      <c r="EG66" s="222"/>
      <c r="EH66" s="223"/>
      <c r="EK66" s="225"/>
      <c r="EL66" s="222"/>
      <c r="EM66" s="223"/>
      <c r="EP66" s="225"/>
      <c r="EQ66" s="222"/>
      <c r="ER66" s="223"/>
      <c r="EU66" s="225"/>
      <c r="EV66" s="222"/>
      <c r="EW66" s="223"/>
      <c r="EZ66" s="225"/>
      <c r="FA66" s="222"/>
      <c r="FB66" s="223"/>
      <c r="FE66" s="225"/>
      <c r="FF66" s="222"/>
      <c r="FG66" s="223"/>
      <c r="FJ66" s="225"/>
      <c r="FK66" s="222"/>
      <c r="FL66" s="223"/>
      <c r="FO66" s="225"/>
      <c r="FP66" s="222"/>
      <c r="FQ66" s="223"/>
      <c r="FT66" s="225"/>
      <c r="FU66" s="222"/>
      <c r="FV66" s="223"/>
      <c r="FY66" s="225"/>
      <c r="FZ66" s="222"/>
      <c r="GA66" s="223"/>
      <c r="GD66" s="225"/>
      <c r="GE66" s="222"/>
      <c r="GF66" s="223"/>
      <c r="GI66" s="225"/>
      <c r="GJ66" s="222"/>
      <c r="GK66" s="223"/>
      <c r="GN66" s="225"/>
      <c r="GO66" s="222"/>
      <c r="GP66" s="223"/>
      <c r="GS66" s="225"/>
      <c r="GT66" s="222"/>
      <c r="GU66" s="223"/>
      <c r="GX66" s="225"/>
      <c r="GY66" s="222"/>
      <c r="GZ66" s="223"/>
      <c r="HC66" s="225"/>
      <c r="HD66" s="222"/>
      <c r="HE66" s="223"/>
      <c r="HH66" s="225"/>
      <c r="HI66" s="222"/>
      <c r="HJ66" s="223"/>
      <c r="HM66" s="225"/>
      <c r="HN66" s="222"/>
      <c r="HO66" s="223"/>
      <c r="HR66" s="225"/>
      <c r="HS66" s="222"/>
      <c r="HT66" s="223"/>
      <c r="HW66" s="225"/>
      <c r="HX66" s="222"/>
      <c r="HY66" s="223"/>
      <c r="IB66" s="225"/>
      <c r="IC66" s="222"/>
      <c r="ID66" s="223"/>
      <c r="IG66" s="225"/>
      <c r="IH66" s="222"/>
      <c r="II66" s="223"/>
      <c r="IL66" s="225"/>
      <c r="IM66" s="222"/>
      <c r="IN66" s="223"/>
      <c r="IQ66" s="225"/>
      <c r="IR66" s="222"/>
      <c r="IS66" s="223"/>
      <c r="IV66" s="225"/>
    </row>
    <row r="67" spans="1:256" s="224" customFormat="1" ht="28.5" customHeight="1">
      <c r="A67" s="73" t="s">
        <v>762</v>
      </c>
      <c r="B67" s="219"/>
      <c r="C67" s="240" t="s">
        <v>763</v>
      </c>
      <c r="D67" s="221" t="s">
        <v>108</v>
      </c>
      <c r="E67" s="221">
        <v>1</v>
      </c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222"/>
      <c r="R67" s="223"/>
      <c r="U67" s="225"/>
      <c r="V67" s="222"/>
      <c r="W67" s="223"/>
      <c r="Z67" s="225"/>
      <c r="AA67" s="222"/>
      <c r="AB67" s="223"/>
      <c r="AE67" s="225"/>
      <c r="AF67" s="222"/>
      <c r="AG67" s="223"/>
      <c r="AJ67" s="225"/>
      <c r="AK67" s="222"/>
      <c r="AL67" s="223"/>
      <c r="AO67" s="225"/>
      <c r="AP67" s="222"/>
      <c r="AQ67" s="223"/>
      <c r="AT67" s="225"/>
      <c r="AU67" s="222"/>
      <c r="AV67" s="223"/>
      <c r="AY67" s="225"/>
      <c r="AZ67" s="222"/>
      <c r="BA67" s="223"/>
      <c r="BD67" s="225"/>
      <c r="BE67" s="222"/>
      <c r="BF67" s="223"/>
      <c r="BI67" s="225"/>
      <c r="BJ67" s="222"/>
      <c r="BK67" s="223"/>
      <c r="BN67" s="225"/>
      <c r="BO67" s="222"/>
      <c r="BP67" s="223"/>
      <c r="BS67" s="225"/>
      <c r="BT67" s="222"/>
      <c r="BU67" s="223"/>
      <c r="BX67" s="225"/>
      <c r="BY67" s="222"/>
      <c r="BZ67" s="223"/>
      <c r="CC67" s="225"/>
      <c r="CD67" s="222"/>
      <c r="CE67" s="223"/>
      <c r="CH67" s="225"/>
      <c r="CI67" s="222"/>
      <c r="CJ67" s="223"/>
      <c r="CM67" s="225"/>
      <c r="CN67" s="222"/>
      <c r="CO67" s="223"/>
      <c r="CR67" s="225"/>
      <c r="CS67" s="222"/>
      <c r="CT67" s="223"/>
      <c r="CW67" s="225"/>
      <c r="CX67" s="222"/>
      <c r="CY67" s="223"/>
      <c r="DB67" s="225"/>
      <c r="DC67" s="222"/>
      <c r="DD67" s="223"/>
      <c r="DG67" s="225"/>
      <c r="DH67" s="222"/>
      <c r="DI67" s="223"/>
      <c r="DL67" s="225"/>
      <c r="DM67" s="222"/>
      <c r="DN67" s="223"/>
      <c r="DQ67" s="225"/>
      <c r="DR67" s="222"/>
      <c r="DS67" s="223"/>
      <c r="DV67" s="225"/>
      <c r="DW67" s="222"/>
      <c r="DX67" s="223"/>
      <c r="EA67" s="225"/>
      <c r="EB67" s="222"/>
      <c r="EC67" s="223"/>
      <c r="EF67" s="225"/>
      <c r="EG67" s="222"/>
      <c r="EH67" s="223"/>
      <c r="EK67" s="225"/>
      <c r="EL67" s="222"/>
      <c r="EM67" s="223"/>
      <c r="EP67" s="225"/>
      <c r="EQ67" s="222"/>
      <c r="ER67" s="223"/>
      <c r="EU67" s="225"/>
      <c r="EV67" s="222"/>
      <c r="EW67" s="223"/>
      <c r="EZ67" s="225"/>
      <c r="FA67" s="222"/>
      <c r="FB67" s="223"/>
      <c r="FE67" s="225"/>
      <c r="FF67" s="222"/>
      <c r="FG67" s="223"/>
      <c r="FJ67" s="225"/>
      <c r="FK67" s="222"/>
      <c r="FL67" s="223"/>
      <c r="FO67" s="225"/>
      <c r="FP67" s="222"/>
      <c r="FQ67" s="223"/>
      <c r="FT67" s="225"/>
      <c r="FU67" s="222"/>
      <c r="FV67" s="223"/>
      <c r="FY67" s="225"/>
      <c r="FZ67" s="222"/>
      <c r="GA67" s="223"/>
      <c r="GD67" s="225"/>
      <c r="GE67" s="222"/>
      <c r="GF67" s="223"/>
      <c r="GI67" s="225"/>
      <c r="GJ67" s="222"/>
      <c r="GK67" s="223"/>
      <c r="GN67" s="225"/>
      <c r="GO67" s="222"/>
      <c r="GP67" s="223"/>
      <c r="GS67" s="225"/>
      <c r="GT67" s="222"/>
      <c r="GU67" s="223"/>
      <c r="GX67" s="225"/>
      <c r="GY67" s="222"/>
      <c r="GZ67" s="223"/>
      <c r="HC67" s="225"/>
      <c r="HD67" s="222"/>
      <c r="HE67" s="223"/>
      <c r="HH67" s="225"/>
      <c r="HI67" s="222"/>
      <c r="HJ67" s="223"/>
      <c r="HM67" s="225"/>
      <c r="HN67" s="222"/>
      <c r="HO67" s="223"/>
      <c r="HR67" s="225"/>
      <c r="HS67" s="222"/>
      <c r="HT67" s="223"/>
      <c r="HW67" s="225"/>
      <c r="HX67" s="222"/>
      <c r="HY67" s="223"/>
      <c r="IB67" s="225"/>
      <c r="IC67" s="222"/>
      <c r="ID67" s="223"/>
      <c r="IG67" s="225"/>
      <c r="IH67" s="222"/>
      <c r="II67" s="223"/>
      <c r="IL67" s="225"/>
      <c r="IM67" s="222"/>
      <c r="IN67" s="223"/>
      <c r="IQ67" s="225"/>
      <c r="IR67" s="222"/>
      <c r="IS67" s="223"/>
      <c r="IV67" s="225"/>
    </row>
    <row r="68" spans="1:256" s="224" customFormat="1" ht="17.25" customHeight="1">
      <c r="A68" s="73"/>
      <c r="B68" s="219"/>
      <c r="C68" s="241" t="s">
        <v>764</v>
      </c>
      <c r="D68" s="221"/>
      <c r="E68" s="221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222"/>
      <c r="R68" s="223"/>
      <c r="U68" s="225"/>
      <c r="V68" s="222"/>
      <c r="W68" s="223"/>
      <c r="Z68" s="225"/>
      <c r="AA68" s="222"/>
      <c r="AB68" s="223"/>
      <c r="AE68" s="225"/>
      <c r="AF68" s="222"/>
      <c r="AG68" s="223"/>
      <c r="AJ68" s="225"/>
      <c r="AK68" s="222"/>
      <c r="AL68" s="223"/>
      <c r="AO68" s="225"/>
      <c r="AP68" s="222"/>
      <c r="AQ68" s="223"/>
      <c r="AT68" s="225"/>
      <c r="AU68" s="222"/>
      <c r="AV68" s="223"/>
      <c r="AY68" s="225"/>
      <c r="AZ68" s="222"/>
      <c r="BA68" s="223"/>
      <c r="BD68" s="225"/>
      <c r="BE68" s="222"/>
      <c r="BF68" s="223"/>
      <c r="BI68" s="225"/>
      <c r="BJ68" s="222"/>
      <c r="BK68" s="223"/>
      <c r="BN68" s="225"/>
      <c r="BO68" s="222"/>
      <c r="BP68" s="223"/>
      <c r="BS68" s="225"/>
      <c r="BT68" s="222"/>
      <c r="BU68" s="223"/>
      <c r="BX68" s="225"/>
      <c r="BY68" s="222"/>
      <c r="BZ68" s="223"/>
      <c r="CC68" s="225"/>
      <c r="CD68" s="222"/>
      <c r="CE68" s="223"/>
      <c r="CH68" s="225"/>
      <c r="CI68" s="222"/>
      <c r="CJ68" s="223"/>
      <c r="CM68" s="225"/>
      <c r="CN68" s="222"/>
      <c r="CO68" s="223"/>
      <c r="CR68" s="225"/>
      <c r="CS68" s="222"/>
      <c r="CT68" s="223"/>
      <c r="CW68" s="225"/>
      <c r="CX68" s="222"/>
      <c r="CY68" s="223"/>
      <c r="DB68" s="225"/>
      <c r="DC68" s="222"/>
      <c r="DD68" s="223"/>
      <c r="DG68" s="225"/>
      <c r="DH68" s="222"/>
      <c r="DI68" s="223"/>
      <c r="DL68" s="225"/>
      <c r="DM68" s="222"/>
      <c r="DN68" s="223"/>
      <c r="DQ68" s="225"/>
      <c r="DR68" s="222"/>
      <c r="DS68" s="223"/>
      <c r="DV68" s="225"/>
      <c r="DW68" s="222"/>
      <c r="DX68" s="223"/>
      <c r="EA68" s="225"/>
      <c r="EB68" s="222"/>
      <c r="EC68" s="223"/>
      <c r="EF68" s="225"/>
      <c r="EG68" s="222"/>
      <c r="EH68" s="223"/>
      <c r="EK68" s="225"/>
      <c r="EL68" s="222"/>
      <c r="EM68" s="223"/>
      <c r="EP68" s="225"/>
      <c r="EQ68" s="222"/>
      <c r="ER68" s="223"/>
      <c r="EU68" s="225"/>
      <c r="EV68" s="222"/>
      <c r="EW68" s="223"/>
      <c r="EZ68" s="225"/>
      <c r="FA68" s="222"/>
      <c r="FB68" s="223"/>
      <c r="FE68" s="225"/>
      <c r="FF68" s="222"/>
      <c r="FG68" s="223"/>
      <c r="FJ68" s="225"/>
      <c r="FK68" s="222"/>
      <c r="FL68" s="223"/>
      <c r="FO68" s="225"/>
      <c r="FP68" s="222"/>
      <c r="FQ68" s="223"/>
      <c r="FT68" s="225"/>
      <c r="FU68" s="222"/>
      <c r="FV68" s="223"/>
      <c r="FY68" s="225"/>
      <c r="FZ68" s="222"/>
      <c r="GA68" s="223"/>
      <c r="GD68" s="225"/>
      <c r="GE68" s="222"/>
      <c r="GF68" s="223"/>
      <c r="GI68" s="225"/>
      <c r="GJ68" s="222"/>
      <c r="GK68" s="223"/>
      <c r="GN68" s="225"/>
      <c r="GO68" s="222"/>
      <c r="GP68" s="223"/>
      <c r="GS68" s="225"/>
      <c r="GT68" s="222"/>
      <c r="GU68" s="223"/>
      <c r="GX68" s="225"/>
      <c r="GY68" s="222"/>
      <c r="GZ68" s="223"/>
      <c r="HC68" s="225"/>
      <c r="HD68" s="222"/>
      <c r="HE68" s="223"/>
      <c r="HH68" s="225"/>
      <c r="HI68" s="222"/>
      <c r="HJ68" s="223"/>
      <c r="HM68" s="225"/>
      <c r="HN68" s="222"/>
      <c r="HO68" s="223"/>
      <c r="HR68" s="225"/>
      <c r="HS68" s="222"/>
      <c r="HT68" s="223"/>
      <c r="HW68" s="225"/>
      <c r="HX68" s="222"/>
      <c r="HY68" s="223"/>
      <c r="IB68" s="225"/>
      <c r="IC68" s="222"/>
      <c r="ID68" s="223"/>
      <c r="IG68" s="225"/>
      <c r="IH68" s="222"/>
      <c r="II68" s="223"/>
      <c r="IL68" s="225"/>
      <c r="IM68" s="222"/>
      <c r="IN68" s="223"/>
      <c r="IQ68" s="225"/>
      <c r="IR68" s="222"/>
      <c r="IS68" s="223"/>
      <c r="IV68" s="225"/>
    </row>
    <row r="69" spans="1:16" s="227" customFormat="1" ht="29.25" customHeight="1">
      <c r="A69" s="73" t="s">
        <v>765</v>
      </c>
      <c r="B69" s="231"/>
      <c r="C69" s="90" t="s">
        <v>766</v>
      </c>
      <c r="D69" s="221" t="s">
        <v>306</v>
      </c>
      <c r="E69" s="221">
        <v>1</v>
      </c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</row>
    <row r="70" spans="1:16" s="144" customFormat="1" ht="29.25" customHeight="1">
      <c r="A70" s="140" t="s">
        <v>767</v>
      </c>
      <c r="B70" s="169"/>
      <c r="C70" s="116" t="s">
        <v>768</v>
      </c>
      <c r="D70" s="228" t="s">
        <v>665</v>
      </c>
      <c r="E70" s="228">
        <v>20</v>
      </c>
      <c r="F70" s="143"/>
      <c r="G70" s="143"/>
      <c r="H70" s="143"/>
      <c r="I70" s="230"/>
      <c r="J70" s="143"/>
      <c r="K70" s="143"/>
      <c r="L70" s="143"/>
      <c r="M70" s="143"/>
      <c r="N70" s="143"/>
      <c r="O70" s="143"/>
      <c r="P70" s="143"/>
    </row>
    <row r="71" spans="1:16" s="144" customFormat="1" ht="16.5" customHeight="1">
      <c r="A71" s="140" t="s">
        <v>769</v>
      </c>
      <c r="B71" s="169"/>
      <c r="C71" s="116" t="s">
        <v>770</v>
      </c>
      <c r="D71" s="228" t="s">
        <v>77</v>
      </c>
      <c r="E71" s="228">
        <v>120</v>
      </c>
      <c r="F71" s="143"/>
      <c r="G71" s="143"/>
      <c r="H71" s="143"/>
      <c r="I71" s="230"/>
      <c r="J71" s="143"/>
      <c r="K71" s="143"/>
      <c r="L71" s="143"/>
      <c r="M71" s="143"/>
      <c r="N71" s="143"/>
      <c r="O71" s="143"/>
      <c r="P71" s="143"/>
    </row>
    <row r="72" spans="1:16" s="144" customFormat="1" ht="26.25" customHeight="1">
      <c r="A72" s="140" t="s">
        <v>771</v>
      </c>
      <c r="B72" s="169"/>
      <c r="C72" s="116" t="s">
        <v>772</v>
      </c>
      <c r="D72" s="228" t="s">
        <v>665</v>
      </c>
      <c r="E72" s="228">
        <v>10</v>
      </c>
      <c r="F72" s="143"/>
      <c r="G72" s="143"/>
      <c r="H72" s="143"/>
      <c r="I72" s="230"/>
      <c r="J72" s="143"/>
      <c r="K72" s="143"/>
      <c r="L72" s="143"/>
      <c r="M72" s="143"/>
      <c r="N72" s="143"/>
      <c r="O72" s="143"/>
      <c r="P72" s="143"/>
    </row>
    <row r="73" spans="1:16" s="144" customFormat="1" ht="15" customHeight="1">
      <c r="A73" s="140" t="s">
        <v>773</v>
      </c>
      <c r="B73" s="169"/>
      <c r="C73" s="116" t="s">
        <v>774</v>
      </c>
      <c r="D73" s="228" t="s">
        <v>665</v>
      </c>
      <c r="E73" s="228">
        <v>10</v>
      </c>
      <c r="F73" s="143"/>
      <c r="G73" s="143"/>
      <c r="H73" s="143"/>
      <c r="I73" s="230"/>
      <c r="J73" s="143"/>
      <c r="K73" s="143"/>
      <c r="L73" s="143"/>
      <c r="M73" s="143"/>
      <c r="N73" s="143"/>
      <c r="O73" s="143"/>
      <c r="P73" s="143"/>
    </row>
    <row r="74" spans="1:16" s="144" customFormat="1" ht="15" customHeight="1">
      <c r="A74" s="140" t="s">
        <v>775</v>
      </c>
      <c r="B74" s="169"/>
      <c r="C74" s="116" t="s">
        <v>776</v>
      </c>
      <c r="D74" s="228" t="s">
        <v>665</v>
      </c>
      <c r="E74" s="228">
        <v>8</v>
      </c>
      <c r="F74" s="143"/>
      <c r="G74" s="143"/>
      <c r="H74" s="143"/>
      <c r="I74" s="230"/>
      <c r="J74" s="143"/>
      <c r="K74" s="143"/>
      <c r="L74" s="143"/>
      <c r="M74" s="143"/>
      <c r="N74" s="143"/>
      <c r="O74" s="143"/>
      <c r="P74" s="143"/>
    </row>
    <row r="75" spans="1:16" s="144" customFormat="1" ht="15" customHeight="1">
      <c r="A75" s="140" t="s">
        <v>777</v>
      </c>
      <c r="B75" s="169"/>
      <c r="C75" s="116" t="s">
        <v>778</v>
      </c>
      <c r="D75" s="228" t="s">
        <v>665</v>
      </c>
      <c r="E75" s="228">
        <v>3</v>
      </c>
      <c r="F75" s="143"/>
      <c r="G75" s="143"/>
      <c r="H75" s="143"/>
      <c r="I75" s="230"/>
      <c r="J75" s="143"/>
      <c r="K75" s="143"/>
      <c r="L75" s="143"/>
      <c r="M75" s="143"/>
      <c r="N75" s="143"/>
      <c r="O75" s="143"/>
      <c r="P75" s="143"/>
    </row>
    <row r="76" spans="1:16" s="144" customFormat="1" ht="15" customHeight="1">
      <c r="A76" s="140" t="s">
        <v>779</v>
      </c>
      <c r="B76" s="169"/>
      <c r="C76" s="116" t="s">
        <v>780</v>
      </c>
      <c r="D76" s="228" t="s">
        <v>781</v>
      </c>
      <c r="E76" s="228">
        <v>180</v>
      </c>
      <c r="F76" s="143"/>
      <c r="G76" s="143"/>
      <c r="H76" s="143"/>
      <c r="I76" s="230"/>
      <c r="J76" s="143"/>
      <c r="K76" s="143"/>
      <c r="L76" s="143"/>
      <c r="M76" s="143"/>
      <c r="N76" s="143"/>
      <c r="O76" s="143"/>
      <c r="P76" s="143"/>
    </row>
    <row r="77" spans="1:16" s="144" customFormat="1" ht="26.25" customHeight="1">
      <c r="A77" s="140" t="s">
        <v>782</v>
      </c>
      <c r="B77" s="169"/>
      <c r="C77" s="116" t="s">
        <v>783</v>
      </c>
      <c r="D77" s="228" t="s">
        <v>665</v>
      </c>
      <c r="E77" s="228">
        <v>60</v>
      </c>
      <c r="F77" s="143"/>
      <c r="G77" s="143"/>
      <c r="H77" s="143"/>
      <c r="I77" s="230"/>
      <c r="J77" s="143"/>
      <c r="K77" s="143"/>
      <c r="L77" s="143"/>
      <c r="M77" s="143"/>
      <c r="N77" s="143"/>
      <c r="O77" s="143"/>
      <c r="P77" s="143"/>
    </row>
    <row r="78" spans="1:16" s="144" customFormat="1" ht="27.75" customHeight="1">
      <c r="A78" s="140" t="s">
        <v>784</v>
      </c>
      <c r="B78" s="169"/>
      <c r="C78" s="116" t="s">
        <v>785</v>
      </c>
      <c r="D78" s="228" t="s">
        <v>665</v>
      </c>
      <c r="E78" s="228">
        <v>30</v>
      </c>
      <c r="F78" s="143"/>
      <c r="G78" s="143"/>
      <c r="H78" s="143"/>
      <c r="I78" s="230"/>
      <c r="J78" s="143"/>
      <c r="K78" s="143"/>
      <c r="L78" s="143"/>
      <c r="M78" s="143"/>
      <c r="N78" s="143"/>
      <c r="O78" s="143"/>
      <c r="P78" s="143"/>
    </row>
    <row r="79" spans="1:16" s="144" customFormat="1" ht="17.25" customHeight="1">
      <c r="A79" s="140" t="s">
        <v>786</v>
      </c>
      <c r="B79" s="169"/>
      <c r="C79" s="116" t="s">
        <v>787</v>
      </c>
      <c r="D79" s="228" t="s">
        <v>665</v>
      </c>
      <c r="E79" s="228">
        <v>60</v>
      </c>
      <c r="F79" s="143"/>
      <c r="G79" s="143"/>
      <c r="H79" s="143"/>
      <c r="I79" s="230"/>
      <c r="J79" s="143"/>
      <c r="K79" s="143"/>
      <c r="L79" s="143"/>
      <c r="M79" s="143"/>
      <c r="N79" s="143"/>
      <c r="O79" s="143"/>
      <c r="P79" s="143"/>
    </row>
    <row r="80" spans="1:16" s="144" customFormat="1" ht="25.5" customHeight="1">
      <c r="A80" s="140" t="s">
        <v>788</v>
      </c>
      <c r="B80" s="169"/>
      <c r="C80" s="116" t="s">
        <v>789</v>
      </c>
      <c r="D80" s="228" t="s">
        <v>665</v>
      </c>
      <c r="E80" s="228">
        <v>80</v>
      </c>
      <c r="F80" s="143"/>
      <c r="G80" s="143"/>
      <c r="H80" s="143"/>
      <c r="I80" s="230"/>
      <c r="J80" s="143"/>
      <c r="K80" s="143"/>
      <c r="L80" s="143"/>
      <c r="M80" s="143"/>
      <c r="N80" s="143"/>
      <c r="O80" s="143"/>
      <c r="P80" s="143"/>
    </row>
    <row r="81" spans="1:16" s="144" customFormat="1" ht="28.5" customHeight="1">
      <c r="A81" s="140" t="s">
        <v>790</v>
      </c>
      <c r="B81" s="169"/>
      <c r="C81" s="116" t="s">
        <v>791</v>
      </c>
      <c r="D81" s="228" t="s">
        <v>118</v>
      </c>
      <c r="E81" s="228">
        <v>1</v>
      </c>
      <c r="F81" s="143"/>
      <c r="G81" s="143"/>
      <c r="H81" s="143"/>
      <c r="I81" s="230"/>
      <c r="J81" s="143"/>
      <c r="K81" s="143"/>
      <c r="L81" s="143"/>
      <c r="M81" s="143"/>
      <c r="N81" s="143"/>
      <c r="O81" s="143"/>
      <c r="P81" s="143"/>
    </row>
    <row r="82" spans="1:16" s="144" customFormat="1" ht="25.5" customHeight="1">
      <c r="A82" s="140" t="s">
        <v>792</v>
      </c>
      <c r="B82" s="169"/>
      <c r="C82" s="116" t="s">
        <v>793</v>
      </c>
      <c r="D82" s="228" t="s">
        <v>665</v>
      </c>
      <c r="E82" s="228">
        <v>10</v>
      </c>
      <c r="F82" s="143"/>
      <c r="G82" s="143"/>
      <c r="H82" s="143"/>
      <c r="I82" s="230"/>
      <c r="J82" s="143"/>
      <c r="K82" s="143"/>
      <c r="L82" s="143"/>
      <c r="M82" s="143"/>
      <c r="N82" s="143"/>
      <c r="O82" s="143"/>
      <c r="P82" s="143"/>
    </row>
    <row r="83" spans="1:16" s="144" customFormat="1" ht="26.25" customHeight="1">
      <c r="A83" s="140" t="s">
        <v>794</v>
      </c>
      <c r="B83" s="169"/>
      <c r="C83" s="116" t="s">
        <v>795</v>
      </c>
      <c r="D83" s="228" t="s">
        <v>665</v>
      </c>
      <c r="E83" s="228">
        <v>18</v>
      </c>
      <c r="F83" s="143"/>
      <c r="G83" s="143"/>
      <c r="H83" s="143"/>
      <c r="I83" s="230"/>
      <c r="J83" s="143"/>
      <c r="K83" s="143"/>
      <c r="L83" s="143"/>
      <c r="M83" s="143"/>
      <c r="N83" s="143"/>
      <c r="O83" s="143"/>
      <c r="P83" s="143"/>
    </row>
    <row r="84" spans="1:16" s="229" customFormat="1" ht="15" customHeight="1">
      <c r="A84" s="149" t="s">
        <v>796</v>
      </c>
      <c r="B84" s="242"/>
      <c r="C84" s="132" t="s">
        <v>162</v>
      </c>
      <c r="D84" s="243" t="s">
        <v>118</v>
      </c>
      <c r="E84" s="243">
        <v>1</v>
      </c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</row>
  </sheetData>
  <mergeCells count="10">
    <mergeCell ref="N8:O8"/>
    <mergeCell ref="I9:P9"/>
    <mergeCell ref="A10:H10"/>
    <mergeCell ref="A11:A12"/>
    <mergeCell ref="B11:B12"/>
    <mergeCell ref="C11:C12"/>
    <mergeCell ref="D11:D12"/>
    <mergeCell ref="E11:E12"/>
    <mergeCell ref="F11:K11"/>
    <mergeCell ref="L11:P11"/>
  </mergeCells>
  <printOptions horizontalCentered="1"/>
  <pageMargins left="0.39375" right="0.39375" top="0.9840277777777777" bottom="0.5902777777777778" header="0.5118055555555555" footer="0.19652777777777777"/>
  <pageSetup horizontalDpi="300" verticalDpi="300" orientation="landscape" paperSize="9" scale="85"/>
  <headerFooter alignWithMargins="0">
    <oddFooter>&amp;CPage &amp;P&amp;R&amp;A</oddFooter>
  </headerFooter>
  <rowBreaks count="3" manualBreakCount="3">
    <brk id="29" max="255" man="1"/>
    <brk id="44" max="255" man="1"/>
    <brk id="6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37"/>
  <sheetViews>
    <sheetView zoomScaleSheetLayoutView="140" workbookViewId="0" topLeftCell="A1">
      <selection activeCell="K8" sqref="K8"/>
    </sheetView>
  </sheetViews>
  <sheetFormatPr defaultColWidth="9.140625" defaultRowHeight="12.75"/>
  <cols>
    <col min="1" max="1" width="7.140625" style="9" customWidth="1"/>
    <col min="2" max="2" width="5.00390625" style="9" customWidth="1"/>
    <col min="3" max="3" width="33.57421875" style="9" customWidth="1"/>
    <col min="4" max="4" width="7.140625" style="135" customWidth="1"/>
    <col min="5" max="10" width="8.57421875" style="9" customWidth="1"/>
    <col min="11" max="16" width="10.00390625" style="9" customWidth="1"/>
    <col min="17" max="16384" width="9.140625" style="9" customWidth="1"/>
  </cols>
  <sheetData>
    <row r="1" spans="1:16" ht="14.25">
      <c r="A1" s="58"/>
      <c r="B1" s="58"/>
      <c r="C1" s="58"/>
      <c r="D1" s="58"/>
      <c r="E1" s="58"/>
      <c r="F1" s="58"/>
      <c r="G1" s="58" t="s">
        <v>797</v>
      </c>
      <c r="H1" s="58"/>
      <c r="I1" s="58"/>
      <c r="J1" s="58"/>
      <c r="K1" s="58"/>
      <c r="L1" s="58"/>
      <c r="M1" s="58"/>
      <c r="N1" s="58"/>
      <c r="O1" s="58"/>
      <c r="P1" s="58"/>
    </row>
    <row r="2" spans="1:16" ht="14.25">
      <c r="A2" s="59"/>
      <c r="B2" s="59"/>
      <c r="C2" s="59"/>
      <c r="D2" s="59"/>
      <c r="E2" s="59"/>
      <c r="F2" s="59"/>
      <c r="G2" s="59" t="s">
        <v>798</v>
      </c>
      <c r="H2" s="59"/>
      <c r="I2" s="59"/>
      <c r="J2" s="59"/>
      <c r="K2" s="59"/>
      <c r="L2" s="59"/>
      <c r="M2" s="59"/>
      <c r="N2" s="59"/>
      <c r="O2" s="59"/>
      <c r="P2" s="59"/>
    </row>
    <row r="3" spans="1:16" ht="14.25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4" spans="1:16" ht="12.75" customHeight="1">
      <c r="A4" s="7" t="s">
        <v>23</v>
      </c>
      <c r="B4" s="8"/>
      <c r="C4"/>
      <c r="D4" s="7" t="s">
        <v>24</v>
      </c>
      <c r="E4" s="60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2.75" customHeight="1">
      <c r="A5" s="7" t="s">
        <v>25</v>
      </c>
      <c r="B5" s="10"/>
      <c r="C5"/>
      <c r="D5" s="32" t="s">
        <v>26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5" s="9" customFormat="1" ht="12.75" customHeight="1">
      <c r="A6" s="7" t="s">
        <v>4</v>
      </c>
      <c r="B6" s="8"/>
      <c r="C6"/>
      <c r="E6" s="8"/>
    </row>
    <row r="7" spans="1:16" ht="12.75" customHeight="1">
      <c r="A7" s="10" t="s">
        <v>5</v>
      </c>
      <c r="B7" s="11"/>
      <c r="C7"/>
      <c r="D7" s="9" t="s">
        <v>6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2.75" customHeight="1">
      <c r="A8" s="7" t="s">
        <v>7</v>
      </c>
      <c r="B8" s="10"/>
      <c r="C8"/>
      <c r="D8" s="51" t="s">
        <v>8</v>
      </c>
      <c r="F8" s="10"/>
      <c r="G8" s="10"/>
      <c r="H8" s="10"/>
      <c r="I8" s="61"/>
      <c r="J8" s="61"/>
      <c r="K8" s="62"/>
      <c r="L8" s="61"/>
      <c r="M8" s="61"/>
      <c r="N8" s="63"/>
      <c r="O8" s="63"/>
      <c r="P8" s="61"/>
    </row>
    <row r="9" spans="1:16" ht="12">
      <c r="A9" s="7" t="s">
        <v>9</v>
      </c>
      <c r="B9" s="8"/>
      <c r="C9"/>
      <c r="D9" s="7" t="s">
        <v>10</v>
      </c>
      <c r="E9" s="10"/>
      <c r="I9" s="7"/>
      <c r="J9" s="7"/>
      <c r="K9" s="7"/>
      <c r="L9" s="7"/>
      <c r="M9" s="7"/>
      <c r="N9" s="7"/>
      <c r="O9" s="7"/>
      <c r="P9" s="7"/>
    </row>
    <row r="10" spans="1:8" ht="12.75" customHeight="1">
      <c r="A10" s="7"/>
      <c r="B10" s="7"/>
      <c r="C10" s="7"/>
      <c r="D10" s="7"/>
      <c r="E10" s="7"/>
      <c r="F10" s="7"/>
      <c r="G10" s="7"/>
      <c r="H10" s="7"/>
    </row>
    <row r="11" spans="1:16" ht="15.75" customHeight="1">
      <c r="A11" s="39" t="s">
        <v>56</v>
      </c>
      <c r="B11" s="65" t="s">
        <v>57</v>
      </c>
      <c r="C11" s="66" t="s">
        <v>58</v>
      </c>
      <c r="D11" s="65" t="s">
        <v>59</v>
      </c>
      <c r="E11" s="65" t="s">
        <v>60</v>
      </c>
      <c r="F11" s="66" t="s">
        <v>61</v>
      </c>
      <c r="G11" s="66"/>
      <c r="H11" s="66"/>
      <c r="I11" s="66"/>
      <c r="J11" s="66"/>
      <c r="K11" s="66"/>
      <c r="L11" s="66" t="s">
        <v>62</v>
      </c>
      <c r="M11" s="66" t="s">
        <v>62</v>
      </c>
      <c r="N11" s="66"/>
      <c r="O11" s="66"/>
      <c r="P11" s="66"/>
    </row>
    <row r="12" spans="1:16" ht="58.5" customHeight="1">
      <c r="A12" s="39"/>
      <c r="B12" s="65"/>
      <c r="C12" s="66"/>
      <c r="D12" s="65"/>
      <c r="E12" s="65"/>
      <c r="F12" s="65" t="s">
        <v>63</v>
      </c>
      <c r="G12" s="65" t="s">
        <v>64</v>
      </c>
      <c r="H12" s="65" t="s">
        <v>65</v>
      </c>
      <c r="I12" s="65" t="s">
        <v>66</v>
      </c>
      <c r="J12" s="65" t="s">
        <v>67</v>
      </c>
      <c r="K12" s="65" t="s">
        <v>68</v>
      </c>
      <c r="L12" s="65" t="s">
        <v>49</v>
      </c>
      <c r="M12" s="65" t="s">
        <v>69</v>
      </c>
      <c r="N12" s="65" t="s">
        <v>70</v>
      </c>
      <c r="O12" s="65" t="s">
        <v>67</v>
      </c>
      <c r="P12" s="65" t="s">
        <v>71</v>
      </c>
    </row>
    <row r="13" spans="1:16" s="155" customFormat="1" ht="15" customHeight="1">
      <c r="A13" s="137">
        <v>1</v>
      </c>
      <c r="B13" s="137">
        <v>2</v>
      </c>
      <c r="C13" s="137">
        <v>3</v>
      </c>
      <c r="D13" s="137">
        <v>4</v>
      </c>
      <c r="E13" s="137">
        <v>5</v>
      </c>
      <c r="F13" s="137">
        <v>6</v>
      </c>
      <c r="G13" s="137">
        <v>7</v>
      </c>
      <c r="H13" s="137">
        <v>8</v>
      </c>
      <c r="I13" s="137">
        <v>9</v>
      </c>
      <c r="J13" s="137">
        <v>10</v>
      </c>
      <c r="K13" s="137">
        <v>11</v>
      </c>
      <c r="L13" s="137">
        <v>12</v>
      </c>
      <c r="M13" s="137">
        <v>13</v>
      </c>
      <c r="N13" s="137">
        <v>14</v>
      </c>
      <c r="O13" s="137">
        <v>15</v>
      </c>
      <c r="P13" s="137">
        <v>16</v>
      </c>
    </row>
    <row r="14" spans="1:16" s="31" customFormat="1" ht="17.25" customHeight="1">
      <c r="A14" s="73"/>
      <c r="B14" s="37"/>
      <c r="C14" s="212"/>
      <c r="D14" s="39"/>
      <c r="E14" s="245"/>
      <c r="F14" s="87"/>
      <c r="G14" s="77"/>
      <c r="H14" s="78"/>
      <c r="I14" s="78"/>
      <c r="J14" s="78"/>
      <c r="K14" s="78"/>
      <c r="L14" s="78"/>
      <c r="M14" s="78"/>
      <c r="N14" s="78"/>
      <c r="O14" s="78"/>
      <c r="P14" s="78"/>
    </row>
    <row r="15" spans="1:16" s="31" customFormat="1" ht="27" customHeight="1">
      <c r="A15" s="73" t="s">
        <v>799</v>
      </c>
      <c r="B15" s="37"/>
      <c r="C15" s="79" t="s">
        <v>800</v>
      </c>
      <c r="D15" s="37" t="s">
        <v>77</v>
      </c>
      <c r="E15" s="88">
        <f>SUM(E16:E18)</f>
        <v>154</v>
      </c>
      <c r="F15" s="37"/>
      <c r="G15" s="77"/>
      <c r="H15" s="78"/>
      <c r="I15" s="80"/>
      <c r="J15" s="78"/>
      <c r="K15" s="78"/>
      <c r="L15" s="78"/>
      <c r="M15" s="78"/>
      <c r="N15" s="78"/>
      <c r="O15" s="78"/>
      <c r="P15" s="78"/>
    </row>
    <row r="16" spans="1:16" s="144" customFormat="1" ht="30" customHeight="1">
      <c r="A16" s="140" t="s">
        <v>801</v>
      </c>
      <c r="B16" s="169"/>
      <c r="C16" s="116" t="s">
        <v>802</v>
      </c>
      <c r="D16" s="169" t="s">
        <v>77</v>
      </c>
      <c r="E16" s="246">
        <v>54</v>
      </c>
      <c r="F16" s="143"/>
      <c r="G16" s="108"/>
      <c r="H16" s="108"/>
      <c r="I16" s="143"/>
      <c r="J16" s="108"/>
      <c r="K16" s="108"/>
      <c r="L16" s="108"/>
      <c r="M16" s="108"/>
      <c r="N16" s="108"/>
      <c r="O16" s="108"/>
      <c r="P16" s="108"/>
    </row>
    <row r="17" spans="1:16" s="144" customFormat="1" ht="27.75" customHeight="1">
      <c r="A17" s="140" t="s">
        <v>803</v>
      </c>
      <c r="B17" s="169"/>
      <c r="C17" s="116" t="s">
        <v>804</v>
      </c>
      <c r="D17" s="169" t="s">
        <v>77</v>
      </c>
      <c r="E17" s="246">
        <v>12</v>
      </c>
      <c r="F17" s="108"/>
      <c r="G17" s="108"/>
      <c r="H17" s="108"/>
      <c r="I17" s="143"/>
      <c r="J17" s="108"/>
      <c r="K17" s="108"/>
      <c r="L17" s="108"/>
      <c r="M17" s="108"/>
      <c r="N17" s="108"/>
      <c r="O17" s="108"/>
      <c r="P17" s="108"/>
    </row>
    <row r="18" spans="1:16" s="144" customFormat="1" ht="31.5" customHeight="1">
      <c r="A18" s="140" t="s">
        <v>805</v>
      </c>
      <c r="B18" s="169"/>
      <c r="C18" s="116" t="s">
        <v>806</v>
      </c>
      <c r="D18" s="169" t="s">
        <v>77</v>
      </c>
      <c r="E18" s="246">
        <v>88</v>
      </c>
      <c r="F18" s="108"/>
      <c r="G18" s="108"/>
      <c r="H18" s="108"/>
      <c r="I18" s="143"/>
      <c r="J18" s="108"/>
      <c r="K18" s="108"/>
      <c r="L18" s="108"/>
      <c r="M18" s="108"/>
      <c r="N18" s="108"/>
      <c r="O18" s="108"/>
      <c r="P18" s="108"/>
    </row>
    <row r="19" spans="1:16" s="144" customFormat="1" ht="17.25" customHeight="1">
      <c r="A19" s="140" t="s">
        <v>807</v>
      </c>
      <c r="B19" s="169"/>
      <c r="C19" s="116" t="s">
        <v>162</v>
      </c>
      <c r="D19" s="169" t="s">
        <v>118</v>
      </c>
      <c r="E19" s="246">
        <v>1</v>
      </c>
      <c r="F19" s="108"/>
      <c r="G19" s="108"/>
      <c r="H19" s="108"/>
      <c r="I19" s="143"/>
      <c r="J19" s="108"/>
      <c r="K19" s="108"/>
      <c r="L19" s="108"/>
      <c r="M19" s="108"/>
      <c r="N19" s="108"/>
      <c r="O19" s="108"/>
      <c r="P19" s="108"/>
    </row>
    <row r="20" spans="1:16" s="31" customFormat="1" ht="16.5" customHeight="1">
      <c r="A20" s="73" t="s">
        <v>808</v>
      </c>
      <c r="B20" s="37"/>
      <c r="C20" s="79" t="s">
        <v>809</v>
      </c>
      <c r="D20" s="37" t="s">
        <v>203</v>
      </c>
      <c r="E20" s="88">
        <v>7</v>
      </c>
      <c r="F20" s="87"/>
      <c r="G20" s="77"/>
      <c r="H20" s="78"/>
      <c r="I20" s="80"/>
      <c r="J20" s="78"/>
      <c r="K20" s="78"/>
      <c r="L20" s="78"/>
      <c r="M20" s="78"/>
      <c r="N20" s="78"/>
      <c r="O20" s="78"/>
      <c r="P20" s="78"/>
    </row>
    <row r="21" spans="1:16" s="144" customFormat="1" ht="17.25" customHeight="1">
      <c r="A21" s="140" t="s">
        <v>810</v>
      </c>
      <c r="B21" s="169"/>
      <c r="C21" s="116" t="s">
        <v>811</v>
      </c>
      <c r="D21" s="169" t="s">
        <v>203</v>
      </c>
      <c r="E21" s="246">
        <v>2</v>
      </c>
      <c r="F21" s="108"/>
      <c r="G21" s="108"/>
      <c r="H21" s="108"/>
      <c r="I21" s="143"/>
      <c r="J21" s="143"/>
      <c r="K21" s="108"/>
      <c r="L21" s="108"/>
      <c r="M21" s="108"/>
      <c r="N21" s="108"/>
      <c r="O21" s="108"/>
      <c r="P21" s="108"/>
    </row>
    <row r="22" spans="1:16" s="144" customFormat="1" ht="18" customHeight="1">
      <c r="A22" s="140" t="s">
        <v>812</v>
      </c>
      <c r="B22" s="169"/>
      <c r="C22" s="116" t="s">
        <v>813</v>
      </c>
      <c r="D22" s="169" t="s">
        <v>203</v>
      </c>
      <c r="E22" s="246">
        <v>5</v>
      </c>
      <c r="F22" s="108"/>
      <c r="G22" s="108"/>
      <c r="H22" s="108"/>
      <c r="I22" s="143"/>
      <c r="J22" s="143"/>
      <c r="K22" s="108"/>
      <c r="L22" s="108"/>
      <c r="M22" s="108"/>
      <c r="N22" s="108"/>
      <c r="O22" s="108"/>
      <c r="P22" s="108"/>
    </row>
    <row r="23" spans="1:16" s="144" customFormat="1" ht="18" customHeight="1">
      <c r="A23" s="140" t="s">
        <v>814</v>
      </c>
      <c r="B23" s="169"/>
      <c r="C23" s="116" t="s">
        <v>162</v>
      </c>
      <c r="D23" s="169" t="s">
        <v>118</v>
      </c>
      <c r="E23" s="246">
        <v>1</v>
      </c>
      <c r="F23" s="108"/>
      <c r="G23" s="108"/>
      <c r="H23" s="108"/>
      <c r="I23" s="247"/>
      <c r="J23" s="143"/>
      <c r="K23" s="108"/>
      <c r="L23" s="108"/>
      <c r="M23" s="108"/>
      <c r="N23" s="108"/>
      <c r="O23" s="108"/>
      <c r="P23" s="108"/>
    </row>
    <row r="24" spans="1:16" s="144" customFormat="1" ht="18" customHeight="1">
      <c r="A24" s="73" t="s">
        <v>815</v>
      </c>
      <c r="B24" s="169"/>
      <c r="C24" s="79" t="s">
        <v>816</v>
      </c>
      <c r="D24" s="37" t="s">
        <v>203</v>
      </c>
      <c r="E24" s="88">
        <v>2</v>
      </c>
      <c r="F24" s="87"/>
      <c r="G24" s="77"/>
      <c r="H24" s="78"/>
      <c r="I24" s="80"/>
      <c r="J24" s="78"/>
      <c r="K24" s="78"/>
      <c r="L24" s="78"/>
      <c r="M24" s="78"/>
      <c r="N24" s="78"/>
      <c r="O24" s="78"/>
      <c r="P24" s="78"/>
    </row>
    <row r="25" spans="1:16" s="144" customFormat="1" ht="18" customHeight="1">
      <c r="A25" s="140" t="s">
        <v>817</v>
      </c>
      <c r="B25" s="169"/>
      <c r="C25" s="116" t="s">
        <v>818</v>
      </c>
      <c r="D25" s="169" t="s">
        <v>203</v>
      </c>
      <c r="E25" s="246">
        <v>1</v>
      </c>
      <c r="F25" s="108"/>
      <c r="G25" s="108"/>
      <c r="H25" s="108"/>
      <c r="I25" s="143"/>
      <c r="J25" s="143"/>
      <c r="K25" s="108"/>
      <c r="L25" s="108"/>
      <c r="M25" s="108"/>
      <c r="N25" s="108"/>
      <c r="O25" s="108"/>
      <c r="P25" s="108"/>
    </row>
    <row r="26" spans="1:16" s="144" customFormat="1" ht="18" customHeight="1">
      <c r="A26" s="140" t="s">
        <v>819</v>
      </c>
      <c r="B26" s="169"/>
      <c r="C26" s="116" t="s">
        <v>820</v>
      </c>
      <c r="D26" s="169" t="s">
        <v>203</v>
      </c>
      <c r="E26" s="246">
        <v>1</v>
      </c>
      <c r="F26" s="108"/>
      <c r="G26" s="108"/>
      <c r="H26" s="108"/>
      <c r="I26" s="143"/>
      <c r="J26" s="143"/>
      <c r="K26" s="108"/>
      <c r="L26" s="108"/>
      <c r="M26" s="108"/>
      <c r="N26" s="108"/>
      <c r="O26" s="108"/>
      <c r="P26" s="108"/>
    </row>
    <row r="27" spans="1:16" s="144" customFormat="1" ht="18" customHeight="1">
      <c r="A27" s="140" t="s">
        <v>821</v>
      </c>
      <c r="B27" s="169"/>
      <c r="C27" s="116" t="s">
        <v>162</v>
      </c>
      <c r="D27" s="169" t="s">
        <v>118</v>
      </c>
      <c r="E27" s="246">
        <v>1</v>
      </c>
      <c r="F27" s="108"/>
      <c r="G27" s="108"/>
      <c r="H27" s="108"/>
      <c r="I27" s="143"/>
      <c r="J27" s="143"/>
      <c r="K27" s="108"/>
      <c r="L27" s="108"/>
      <c r="M27" s="108"/>
      <c r="N27" s="108"/>
      <c r="O27" s="108"/>
      <c r="P27" s="108"/>
    </row>
    <row r="28" spans="1:16" s="31" customFormat="1" ht="18" customHeight="1">
      <c r="A28" s="73" t="s">
        <v>822</v>
      </c>
      <c r="B28" s="37"/>
      <c r="C28" s="79" t="s">
        <v>823</v>
      </c>
      <c r="D28" s="37" t="s">
        <v>77</v>
      </c>
      <c r="E28" s="88">
        <f>SUM(E29:E33)</f>
        <v>131</v>
      </c>
      <c r="F28" s="87"/>
      <c r="G28" s="77"/>
      <c r="H28" s="78"/>
      <c r="I28" s="80"/>
      <c r="J28" s="78"/>
      <c r="K28" s="78"/>
      <c r="L28" s="78"/>
      <c r="M28" s="78"/>
      <c r="N28" s="78"/>
      <c r="O28" s="78"/>
      <c r="P28" s="78"/>
    </row>
    <row r="29" spans="1:16" s="144" customFormat="1" ht="25.5" customHeight="1">
      <c r="A29" s="140" t="s">
        <v>824</v>
      </c>
      <c r="B29" s="169"/>
      <c r="C29" s="116" t="s">
        <v>825</v>
      </c>
      <c r="D29" s="169" t="s">
        <v>77</v>
      </c>
      <c r="E29" s="246">
        <v>47</v>
      </c>
      <c r="F29" s="108"/>
      <c r="G29" s="108"/>
      <c r="H29" s="108"/>
      <c r="I29" s="143"/>
      <c r="J29" s="143"/>
      <c r="K29" s="108"/>
      <c r="L29" s="108"/>
      <c r="M29" s="108"/>
      <c r="N29" s="108"/>
      <c r="O29" s="108"/>
      <c r="P29" s="108"/>
    </row>
    <row r="30" spans="1:16" s="144" customFormat="1" ht="25.5" customHeight="1">
      <c r="A30" s="140" t="s">
        <v>826</v>
      </c>
      <c r="B30" s="169"/>
      <c r="C30" s="116" t="s">
        <v>827</v>
      </c>
      <c r="D30" s="169" t="s">
        <v>77</v>
      </c>
      <c r="E30" s="246">
        <v>13</v>
      </c>
      <c r="F30" s="108"/>
      <c r="G30" s="108"/>
      <c r="H30" s="108"/>
      <c r="I30" s="143"/>
      <c r="J30" s="143"/>
      <c r="K30" s="108"/>
      <c r="L30" s="108"/>
      <c r="M30" s="108"/>
      <c r="N30" s="108"/>
      <c r="O30" s="108"/>
      <c r="P30" s="108"/>
    </row>
    <row r="31" spans="1:16" s="144" customFormat="1" ht="25.5" customHeight="1">
      <c r="A31" s="140" t="s">
        <v>828</v>
      </c>
      <c r="B31" s="169"/>
      <c r="C31" s="116" t="s">
        <v>829</v>
      </c>
      <c r="D31" s="169" t="s">
        <v>77</v>
      </c>
      <c r="E31" s="246">
        <v>13</v>
      </c>
      <c r="F31" s="108"/>
      <c r="G31" s="108"/>
      <c r="H31" s="108"/>
      <c r="I31" s="143"/>
      <c r="J31" s="143"/>
      <c r="K31" s="108"/>
      <c r="L31" s="108"/>
      <c r="M31" s="108"/>
      <c r="N31" s="108"/>
      <c r="O31" s="108"/>
      <c r="P31" s="108"/>
    </row>
    <row r="32" spans="1:16" s="144" customFormat="1" ht="30" customHeight="1">
      <c r="A32" s="140" t="s">
        <v>830</v>
      </c>
      <c r="B32" s="169"/>
      <c r="C32" s="116" t="s">
        <v>831</v>
      </c>
      <c r="D32" s="169" t="s">
        <v>77</v>
      </c>
      <c r="E32" s="246">
        <v>28</v>
      </c>
      <c r="F32" s="108"/>
      <c r="G32" s="108"/>
      <c r="H32" s="108"/>
      <c r="I32" s="143"/>
      <c r="J32" s="143"/>
      <c r="K32" s="108"/>
      <c r="L32" s="108"/>
      <c r="M32" s="108"/>
      <c r="N32" s="108"/>
      <c r="O32" s="108"/>
      <c r="P32" s="108"/>
    </row>
    <row r="33" spans="1:16" s="144" customFormat="1" ht="30" customHeight="1">
      <c r="A33" s="140" t="s">
        <v>832</v>
      </c>
      <c r="B33" s="169"/>
      <c r="C33" s="116" t="s">
        <v>833</v>
      </c>
      <c r="D33" s="169" t="s">
        <v>77</v>
      </c>
      <c r="E33" s="246">
        <v>30</v>
      </c>
      <c r="F33" s="108"/>
      <c r="G33" s="108"/>
      <c r="H33" s="108"/>
      <c r="I33" s="143"/>
      <c r="J33" s="143"/>
      <c r="K33" s="108"/>
      <c r="L33" s="108"/>
      <c r="M33" s="108"/>
      <c r="N33" s="108"/>
      <c r="O33" s="108"/>
      <c r="P33" s="108"/>
    </row>
    <row r="34" spans="1:16" s="144" customFormat="1" ht="16.5" customHeight="1">
      <c r="A34" s="140" t="s">
        <v>834</v>
      </c>
      <c r="B34" s="169"/>
      <c r="C34" s="116" t="s">
        <v>162</v>
      </c>
      <c r="D34" s="169" t="s">
        <v>118</v>
      </c>
      <c r="E34" s="246">
        <v>1</v>
      </c>
      <c r="F34" s="108"/>
      <c r="G34" s="108"/>
      <c r="H34" s="108"/>
      <c r="I34" s="143"/>
      <c r="J34" s="143"/>
      <c r="K34" s="108"/>
      <c r="L34" s="108"/>
      <c r="M34" s="108"/>
      <c r="N34" s="108"/>
      <c r="O34" s="108"/>
      <c r="P34" s="108"/>
    </row>
    <row r="35" spans="1:16" s="31" customFormat="1" ht="20.25" customHeight="1">
      <c r="A35" s="73" t="s">
        <v>835</v>
      </c>
      <c r="B35" s="37"/>
      <c r="C35" s="79" t="s">
        <v>836</v>
      </c>
      <c r="D35" s="37" t="s">
        <v>837</v>
      </c>
      <c r="E35" s="88">
        <v>1.54</v>
      </c>
      <c r="F35" s="87"/>
      <c r="G35" s="77"/>
      <c r="H35" s="78"/>
      <c r="I35" s="80"/>
      <c r="J35" s="78"/>
      <c r="K35" s="78"/>
      <c r="L35" s="78"/>
      <c r="M35" s="78"/>
      <c r="N35" s="78"/>
      <c r="O35" s="78"/>
      <c r="P35" s="78"/>
    </row>
    <row r="36" spans="1:16" s="31" customFormat="1" ht="39" customHeight="1">
      <c r="A36" s="73" t="s">
        <v>838</v>
      </c>
      <c r="B36" s="37"/>
      <c r="C36" s="148" t="s">
        <v>839</v>
      </c>
      <c r="D36" s="37" t="s">
        <v>167</v>
      </c>
      <c r="E36" s="88">
        <v>12</v>
      </c>
      <c r="F36" s="87"/>
      <c r="G36" s="77"/>
      <c r="H36" s="78"/>
      <c r="I36" s="80"/>
      <c r="J36" s="78"/>
      <c r="K36" s="78"/>
      <c r="L36" s="78"/>
      <c r="M36" s="78"/>
      <c r="N36" s="78"/>
      <c r="O36" s="78"/>
      <c r="P36" s="78"/>
    </row>
    <row r="37" spans="1:16" s="31" customFormat="1" ht="17.25" customHeight="1">
      <c r="A37" s="94"/>
      <c r="B37" s="36"/>
      <c r="C37" s="248"/>
      <c r="D37" s="35"/>
      <c r="E37" s="249"/>
      <c r="F37" s="250"/>
      <c r="G37" s="251"/>
      <c r="H37" s="252"/>
      <c r="I37" s="252"/>
      <c r="J37" s="252"/>
      <c r="K37" s="252"/>
      <c r="L37" s="252"/>
      <c r="M37" s="252"/>
      <c r="N37" s="252"/>
      <c r="O37" s="252"/>
      <c r="P37" s="252"/>
    </row>
  </sheetData>
  <mergeCells count="10">
    <mergeCell ref="N8:O8"/>
    <mergeCell ref="I9:P9"/>
    <mergeCell ref="A10:H10"/>
    <mergeCell ref="A11:A12"/>
    <mergeCell ref="B11:B12"/>
    <mergeCell ref="C11:C12"/>
    <mergeCell ref="D11:D12"/>
    <mergeCell ref="E11:E12"/>
    <mergeCell ref="F11:K11"/>
    <mergeCell ref="L11:P11"/>
  </mergeCells>
  <printOptions horizontalCentered="1"/>
  <pageMargins left="0.39375" right="0.39375" top="0.9840277777777777" bottom="0.5902777777777778" header="0.5118055555555555" footer="0.19652777777777777"/>
  <pageSetup horizontalDpi="300" verticalDpi="300" orientation="landscape" paperSize="9" scale="85"/>
  <headerFooter alignWithMargins="0">
    <oddFooter>&amp;CPage &amp;P&amp;R&amp;A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49"/>
  <sheetViews>
    <sheetView zoomScaleSheetLayoutView="140" workbookViewId="0" topLeftCell="A1">
      <selection activeCell="J10" sqref="J10"/>
    </sheetView>
  </sheetViews>
  <sheetFormatPr defaultColWidth="9.140625" defaultRowHeight="12.75"/>
  <cols>
    <col min="1" max="1" width="7.140625" style="9" customWidth="1"/>
    <col min="2" max="2" width="5.00390625" style="9" customWidth="1"/>
    <col min="3" max="3" width="33.57421875" style="9" customWidth="1"/>
    <col min="4" max="4" width="7.140625" style="135" customWidth="1"/>
    <col min="5" max="10" width="8.57421875" style="9" customWidth="1"/>
    <col min="11" max="16" width="10.00390625" style="9" customWidth="1"/>
    <col min="17" max="16384" width="9.140625" style="9" customWidth="1"/>
  </cols>
  <sheetData>
    <row r="1" spans="1:16" ht="14.25">
      <c r="A1" s="58"/>
      <c r="B1" s="58"/>
      <c r="C1" s="58"/>
      <c r="D1" s="58"/>
      <c r="E1" s="58"/>
      <c r="F1" s="58"/>
      <c r="G1" s="58" t="s">
        <v>840</v>
      </c>
      <c r="H1" s="58"/>
      <c r="I1" s="58"/>
      <c r="J1" s="58"/>
      <c r="K1" s="58"/>
      <c r="L1" s="58"/>
      <c r="M1" s="58"/>
      <c r="N1" s="58"/>
      <c r="O1" s="58"/>
      <c r="P1" s="58"/>
    </row>
    <row r="2" spans="1:16" ht="14.25">
      <c r="A2" s="59"/>
      <c r="B2" s="59"/>
      <c r="C2" s="59"/>
      <c r="D2" s="59"/>
      <c r="E2" s="59"/>
      <c r="F2" s="59"/>
      <c r="G2" s="59" t="s">
        <v>841</v>
      </c>
      <c r="H2" s="59"/>
      <c r="I2" s="59"/>
      <c r="J2" s="59"/>
      <c r="K2" s="59"/>
      <c r="L2" s="59"/>
      <c r="M2" s="59"/>
      <c r="N2" s="59"/>
      <c r="O2" s="59"/>
      <c r="P2" s="59"/>
    </row>
    <row r="3" spans="1:16" ht="14.25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4" spans="1:16" ht="12.75" customHeight="1">
      <c r="A4" s="7" t="s">
        <v>23</v>
      </c>
      <c r="B4" s="8"/>
      <c r="C4"/>
      <c r="D4" s="7" t="s">
        <v>24</v>
      </c>
      <c r="E4" s="60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2.75" customHeight="1">
      <c r="A5" s="7" t="s">
        <v>25</v>
      </c>
      <c r="B5" s="10"/>
      <c r="C5"/>
      <c r="D5" s="32" t="s">
        <v>26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5" s="9" customFormat="1" ht="12.75" customHeight="1">
      <c r="A6" s="7" t="s">
        <v>4</v>
      </c>
      <c r="B6" s="8"/>
      <c r="C6"/>
      <c r="E6" s="8"/>
    </row>
    <row r="7" spans="1:16" ht="12.75" customHeight="1">
      <c r="A7" s="10" t="s">
        <v>5</v>
      </c>
      <c r="B7" s="11"/>
      <c r="C7"/>
      <c r="D7" s="9" t="s">
        <v>6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2.75" customHeight="1">
      <c r="A8" s="7" t="s">
        <v>7</v>
      </c>
      <c r="B8" s="10"/>
      <c r="C8"/>
      <c r="D8" s="51" t="s">
        <v>8</v>
      </c>
      <c r="F8" s="10"/>
      <c r="G8" s="10"/>
      <c r="H8" s="10"/>
      <c r="I8" s="61"/>
      <c r="J8" s="61"/>
      <c r="K8" s="62"/>
      <c r="L8" s="62"/>
      <c r="M8" s="61"/>
      <c r="N8" s="63"/>
      <c r="O8" s="63"/>
      <c r="P8" s="61"/>
    </row>
    <row r="9" spans="1:16" ht="12">
      <c r="A9" s="7" t="s">
        <v>9</v>
      </c>
      <c r="B9" s="8"/>
      <c r="C9"/>
      <c r="D9" s="7" t="s">
        <v>10</v>
      </c>
      <c r="E9" s="10"/>
      <c r="I9" s="7"/>
      <c r="J9" s="7"/>
      <c r="K9" s="7"/>
      <c r="L9" s="7"/>
      <c r="M9" s="7"/>
      <c r="N9" s="7"/>
      <c r="O9" s="7"/>
      <c r="P9" s="7"/>
    </row>
    <row r="10" spans="1:8" ht="12.75" customHeight="1">
      <c r="A10" s="7"/>
      <c r="B10" s="7"/>
      <c r="C10" s="7"/>
      <c r="D10" s="7"/>
      <c r="E10" s="7"/>
      <c r="F10" s="7"/>
      <c r="G10" s="7"/>
      <c r="H10" s="7"/>
    </row>
    <row r="11" spans="1:16" ht="15.75" customHeight="1">
      <c r="A11" s="39" t="s">
        <v>56</v>
      </c>
      <c r="B11" s="65" t="s">
        <v>57</v>
      </c>
      <c r="C11" s="66" t="s">
        <v>58</v>
      </c>
      <c r="D11" s="65" t="s">
        <v>59</v>
      </c>
      <c r="E11" s="65" t="s">
        <v>60</v>
      </c>
      <c r="F11" s="66" t="s">
        <v>61</v>
      </c>
      <c r="G11" s="66"/>
      <c r="H11" s="66"/>
      <c r="I11" s="66"/>
      <c r="J11" s="66"/>
      <c r="K11" s="66"/>
      <c r="L11" s="66" t="s">
        <v>62</v>
      </c>
      <c r="M11" s="66" t="s">
        <v>62</v>
      </c>
      <c r="N11" s="66"/>
      <c r="O11" s="66"/>
      <c r="P11" s="66"/>
    </row>
    <row r="12" spans="1:16" ht="57.75" customHeight="1">
      <c r="A12" s="39"/>
      <c r="B12" s="65"/>
      <c r="C12" s="66"/>
      <c r="D12" s="65"/>
      <c r="E12" s="65"/>
      <c r="F12" s="65" t="s">
        <v>63</v>
      </c>
      <c r="G12" s="65" t="s">
        <v>64</v>
      </c>
      <c r="H12" s="65" t="s">
        <v>65</v>
      </c>
      <c r="I12" s="65" t="s">
        <v>66</v>
      </c>
      <c r="J12" s="65" t="s">
        <v>67</v>
      </c>
      <c r="K12" s="65" t="s">
        <v>68</v>
      </c>
      <c r="L12" s="65" t="s">
        <v>49</v>
      </c>
      <c r="M12" s="65" t="s">
        <v>69</v>
      </c>
      <c r="N12" s="65" t="s">
        <v>70</v>
      </c>
      <c r="O12" s="65" t="s">
        <v>67</v>
      </c>
      <c r="P12" s="65" t="s">
        <v>71</v>
      </c>
    </row>
    <row r="13" spans="1:16" s="155" customFormat="1" ht="15" customHeight="1">
      <c r="A13" s="137">
        <v>1</v>
      </c>
      <c r="B13" s="137">
        <v>2</v>
      </c>
      <c r="C13" s="137">
        <v>3</v>
      </c>
      <c r="D13" s="137">
        <v>4</v>
      </c>
      <c r="E13" s="137">
        <v>5</v>
      </c>
      <c r="F13" s="137">
        <v>6</v>
      </c>
      <c r="G13" s="137">
        <v>7</v>
      </c>
      <c r="H13" s="137">
        <v>8</v>
      </c>
      <c r="I13" s="137">
        <v>9</v>
      </c>
      <c r="J13" s="137">
        <v>10</v>
      </c>
      <c r="K13" s="137">
        <v>11</v>
      </c>
      <c r="L13" s="137">
        <v>12</v>
      </c>
      <c r="M13" s="137">
        <v>13</v>
      </c>
      <c r="N13" s="137">
        <v>14</v>
      </c>
      <c r="O13" s="137">
        <v>15</v>
      </c>
      <c r="P13" s="137">
        <v>16</v>
      </c>
    </row>
    <row r="14" spans="1:16" s="61" customFormat="1" ht="13.5" customHeight="1">
      <c r="A14" s="68"/>
      <c r="B14" s="71"/>
      <c r="C14" s="253"/>
      <c r="D14" s="254"/>
      <c r="E14" s="255"/>
      <c r="F14" s="71"/>
      <c r="G14" s="72"/>
      <c r="H14" s="111"/>
      <c r="I14" s="111"/>
      <c r="J14" s="111"/>
      <c r="K14" s="111"/>
      <c r="L14" s="111"/>
      <c r="M14" s="111"/>
      <c r="N14" s="111"/>
      <c r="O14" s="111"/>
      <c r="P14" s="111"/>
    </row>
    <row r="15" spans="1:16" s="31" customFormat="1" ht="44.25" customHeight="1">
      <c r="A15" s="73" t="s">
        <v>842</v>
      </c>
      <c r="B15" s="37"/>
      <c r="C15" s="148" t="s">
        <v>843</v>
      </c>
      <c r="D15" s="37" t="s">
        <v>77</v>
      </c>
      <c r="E15" s="88">
        <v>10</v>
      </c>
      <c r="F15" s="87"/>
      <c r="G15" s="77"/>
      <c r="H15" s="78"/>
      <c r="I15" s="78"/>
      <c r="J15" s="78"/>
      <c r="K15" s="78"/>
      <c r="L15" s="78"/>
      <c r="M15" s="78"/>
      <c r="N15" s="78"/>
      <c r="O15" s="78"/>
      <c r="P15" s="78"/>
    </row>
    <row r="16" spans="1:16" s="31" customFormat="1" ht="45.75" customHeight="1">
      <c r="A16" s="73" t="s">
        <v>844</v>
      </c>
      <c r="B16" s="37"/>
      <c r="C16" s="148" t="s">
        <v>845</v>
      </c>
      <c r="D16" s="37" t="s">
        <v>77</v>
      </c>
      <c r="E16" s="88">
        <v>5</v>
      </c>
      <c r="F16" s="87"/>
      <c r="G16" s="77"/>
      <c r="H16" s="78"/>
      <c r="I16" s="78"/>
      <c r="J16" s="78"/>
      <c r="K16" s="78"/>
      <c r="L16" s="78"/>
      <c r="M16" s="78"/>
      <c r="N16" s="78"/>
      <c r="O16" s="78"/>
      <c r="P16" s="78"/>
    </row>
    <row r="17" spans="1:16" s="31" customFormat="1" ht="47.25" customHeight="1">
      <c r="A17" s="73" t="s">
        <v>846</v>
      </c>
      <c r="B17" s="37"/>
      <c r="C17" s="148" t="s">
        <v>847</v>
      </c>
      <c r="D17" s="37" t="s">
        <v>77</v>
      </c>
      <c r="E17" s="88">
        <v>5</v>
      </c>
      <c r="F17" s="87"/>
      <c r="G17" s="77"/>
      <c r="H17" s="78"/>
      <c r="I17" s="78"/>
      <c r="J17" s="78"/>
      <c r="K17" s="78"/>
      <c r="L17" s="78"/>
      <c r="M17" s="78"/>
      <c r="N17" s="78"/>
      <c r="O17" s="78"/>
      <c r="P17" s="78"/>
    </row>
    <row r="18" spans="1:16" s="31" customFormat="1" ht="47.25" customHeight="1">
      <c r="A18" s="73" t="s">
        <v>848</v>
      </c>
      <c r="B18" s="37"/>
      <c r="C18" s="148" t="s">
        <v>849</v>
      </c>
      <c r="D18" s="37" t="s">
        <v>77</v>
      </c>
      <c r="E18" s="88">
        <v>2</v>
      </c>
      <c r="F18" s="87"/>
      <c r="G18" s="77"/>
      <c r="H18" s="78"/>
      <c r="I18" s="78"/>
      <c r="J18" s="78"/>
      <c r="K18" s="78"/>
      <c r="L18" s="78"/>
      <c r="M18" s="78"/>
      <c r="N18" s="78"/>
      <c r="O18" s="78"/>
      <c r="P18" s="78"/>
    </row>
    <row r="19" spans="1:16" s="31" customFormat="1" ht="47.25" customHeight="1">
      <c r="A19" s="73" t="s">
        <v>850</v>
      </c>
      <c r="B19" s="37"/>
      <c r="C19" s="148" t="s">
        <v>851</v>
      </c>
      <c r="D19" s="37" t="s">
        <v>77</v>
      </c>
      <c r="E19" s="88">
        <v>12</v>
      </c>
      <c r="F19" s="87"/>
      <c r="G19" s="77"/>
      <c r="H19" s="78"/>
      <c r="I19" s="78"/>
      <c r="J19" s="78"/>
      <c r="K19" s="78"/>
      <c r="L19" s="78"/>
      <c r="M19" s="78"/>
      <c r="N19" s="78"/>
      <c r="O19" s="78"/>
      <c r="P19" s="78"/>
    </row>
    <row r="20" spans="1:16" s="31" customFormat="1" ht="21.75" customHeight="1">
      <c r="A20" s="73" t="s">
        <v>852</v>
      </c>
      <c r="B20" s="37"/>
      <c r="C20" s="79" t="s">
        <v>853</v>
      </c>
      <c r="D20" s="37" t="s">
        <v>203</v>
      </c>
      <c r="E20" s="88">
        <v>1</v>
      </c>
      <c r="F20" s="87"/>
      <c r="G20" s="77"/>
      <c r="H20" s="78"/>
      <c r="I20" s="78"/>
      <c r="J20" s="78"/>
      <c r="K20" s="78"/>
      <c r="L20" s="78"/>
      <c r="M20" s="78"/>
      <c r="N20" s="78"/>
      <c r="O20" s="78"/>
      <c r="P20" s="78"/>
    </row>
    <row r="21" spans="1:16" s="31" customFormat="1" ht="21.75" customHeight="1">
      <c r="A21" s="73" t="s">
        <v>854</v>
      </c>
      <c r="B21" s="37"/>
      <c r="C21" s="79" t="s">
        <v>855</v>
      </c>
      <c r="D21" s="37" t="s">
        <v>203</v>
      </c>
      <c r="E21" s="88">
        <v>1</v>
      </c>
      <c r="F21" s="87"/>
      <c r="G21" s="77"/>
      <c r="H21" s="78"/>
      <c r="I21" s="78"/>
      <c r="J21" s="78"/>
      <c r="K21" s="78"/>
      <c r="L21" s="78"/>
      <c r="M21" s="78"/>
      <c r="N21" s="78"/>
      <c r="O21" s="78"/>
      <c r="P21" s="78"/>
    </row>
    <row r="22" spans="1:16" s="31" customFormat="1" ht="38.25" customHeight="1">
      <c r="A22" s="73" t="s">
        <v>856</v>
      </c>
      <c r="B22" s="37"/>
      <c r="C22" s="79" t="s">
        <v>857</v>
      </c>
      <c r="D22" s="37" t="s">
        <v>203</v>
      </c>
      <c r="E22" s="37">
        <v>3</v>
      </c>
      <c r="F22" s="78"/>
      <c r="G22" s="77"/>
      <c r="H22" s="78"/>
      <c r="I22" s="78"/>
      <c r="J22" s="78"/>
      <c r="K22" s="78"/>
      <c r="L22" s="78"/>
      <c r="M22" s="78"/>
      <c r="N22" s="78"/>
      <c r="O22" s="78"/>
      <c r="P22" s="78"/>
    </row>
    <row r="23" spans="1:16" s="31" customFormat="1" ht="44.25" customHeight="1">
      <c r="A23" s="73" t="s">
        <v>858</v>
      </c>
      <c r="B23" s="37"/>
      <c r="C23" s="79" t="s">
        <v>859</v>
      </c>
      <c r="D23" s="37" t="s">
        <v>203</v>
      </c>
      <c r="E23" s="37">
        <v>3</v>
      </c>
      <c r="F23" s="78"/>
      <c r="G23" s="77"/>
      <c r="H23" s="78"/>
      <c r="I23" s="78"/>
      <c r="J23" s="78"/>
      <c r="K23" s="78"/>
      <c r="L23" s="78"/>
      <c r="M23" s="78"/>
      <c r="N23" s="78"/>
      <c r="O23" s="78"/>
      <c r="P23" s="78"/>
    </row>
    <row r="24" spans="1:16" s="31" customFormat="1" ht="33.75" customHeight="1">
      <c r="A24" s="73" t="s">
        <v>860</v>
      </c>
      <c r="B24" s="37"/>
      <c r="C24" s="148" t="s">
        <v>861</v>
      </c>
      <c r="D24" s="37" t="s">
        <v>203</v>
      </c>
      <c r="E24" s="88">
        <v>1</v>
      </c>
      <c r="F24" s="78"/>
      <c r="G24" s="77"/>
      <c r="H24" s="78"/>
      <c r="I24" s="78"/>
      <c r="J24" s="78"/>
      <c r="K24" s="78"/>
      <c r="L24" s="78"/>
      <c r="M24" s="78"/>
      <c r="N24" s="78"/>
      <c r="O24" s="78"/>
      <c r="P24" s="78"/>
    </row>
    <row r="25" spans="1:16" s="31" customFormat="1" ht="43.5" customHeight="1">
      <c r="A25" s="73" t="s">
        <v>862</v>
      </c>
      <c r="B25" s="37"/>
      <c r="C25" s="148" t="s">
        <v>863</v>
      </c>
      <c r="D25" s="37" t="s">
        <v>203</v>
      </c>
      <c r="E25" s="88">
        <v>1</v>
      </c>
      <c r="F25" s="78"/>
      <c r="G25" s="77"/>
      <c r="H25" s="78"/>
      <c r="I25" s="78"/>
      <c r="J25" s="78"/>
      <c r="K25" s="78"/>
      <c r="L25" s="78"/>
      <c r="M25" s="78"/>
      <c r="N25" s="78"/>
      <c r="O25" s="78"/>
      <c r="P25" s="78"/>
    </row>
    <row r="26" spans="1:16" s="31" customFormat="1" ht="30" customHeight="1">
      <c r="A26" s="73" t="s">
        <v>864</v>
      </c>
      <c r="B26" s="37"/>
      <c r="C26" s="79" t="s">
        <v>865</v>
      </c>
      <c r="D26" s="37" t="s">
        <v>203</v>
      </c>
      <c r="E26" s="88">
        <v>2</v>
      </c>
      <c r="F26" s="78"/>
      <c r="G26" s="77"/>
      <c r="H26" s="78"/>
      <c r="I26" s="78"/>
      <c r="J26" s="78"/>
      <c r="K26" s="78"/>
      <c r="L26" s="78"/>
      <c r="M26" s="78"/>
      <c r="N26" s="78"/>
      <c r="O26" s="78"/>
      <c r="P26" s="78"/>
    </row>
    <row r="27" spans="1:16" s="31" customFormat="1" ht="96" customHeight="1">
      <c r="A27" s="73" t="s">
        <v>866</v>
      </c>
      <c r="B27" s="37"/>
      <c r="C27" s="148" t="s">
        <v>867</v>
      </c>
      <c r="D27" s="37" t="s">
        <v>118</v>
      </c>
      <c r="E27" s="88">
        <v>2</v>
      </c>
      <c r="F27" s="78"/>
      <c r="G27" s="77"/>
      <c r="H27" s="78"/>
      <c r="I27" s="78"/>
      <c r="J27" s="78"/>
      <c r="K27" s="78"/>
      <c r="L27" s="78"/>
      <c r="M27" s="78"/>
      <c r="N27" s="78"/>
      <c r="O27" s="78"/>
      <c r="P27" s="78"/>
    </row>
    <row r="28" spans="1:16" s="31" customFormat="1" ht="78.75" customHeight="1">
      <c r="A28" s="73" t="s">
        <v>868</v>
      </c>
      <c r="B28" s="37"/>
      <c r="C28" s="148" t="s">
        <v>869</v>
      </c>
      <c r="D28" s="37" t="s">
        <v>118</v>
      </c>
      <c r="E28" s="88">
        <v>1</v>
      </c>
      <c r="F28" s="78"/>
      <c r="G28" s="77"/>
      <c r="H28" s="78"/>
      <c r="I28" s="78"/>
      <c r="J28" s="78"/>
      <c r="K28" s="78"/>
      <c r="L28" s="78"/>
      <c r="M28" s="78"/>
      <c r="N28" s="78"/>
      <c r="O28" s="78"/>
      <c r="P28" s="78"/>
    </row>
    <row r="29" spans="1:16" s="31" customFormat="1" ht="42.75" customHeight="1">
      <c r="A29" s="73" t="s">
        <v>870</v>
      </c>
      <c r="B29" s="37"/>
      <c r="C29" s="148" t="s">
        <v>871</v>
      </c>
      <c r="D29" s="37" t="s">
        <v>118</v>
      </c>
      <c r="E29" s="88">
        <v>1</v>
      </c>
      <c r="F29" s="78"/>
      <c r="G29" s="77"/>
      <c r="H29" s="78"/>
      <c r="I29" s="78"/>
      <c r="J29" s="78"/>
      <c r="K29" s="78"/>
      <c r="L29" s="78"/>
      <c r="M29" s="78"/>
      <c r="N29" s="78"/>
      <c r="O29" s="78"/>
      <c r="P29" s="78"/>
    </row>
    <row r="30" spans="1:16" s="31" customFormat="1" ht="32.25" customHeight="1">
      <c r="A30" s="73" t="s">
        <v>872</v>
      </c>
      <c r="B30" s="37"/>
      <c r="C30" s="148" t="s">
        <v>873</v>
      </c>
      <c r="D30" s="37" t="s">
        <v>118</v>
      </c>
      <c r="E30" s="88">
        <v>2</v>
      </c>
      <c r="F30" s="78"/>
      <c r="G30" s="77"/>
      <c r="H30" s="78"/>
      <c r="I30" s="78"/>
      <c r="J30" s="78"/>
      <c r="K30" s="78"/>
      <c r="L30" s="78"/>
      <c r="M30" s="78"/>
      <c r="N30" s="78"/>
      <c r="O30" s="78"/>
      <c r="P30" s="78"/>
    </row>
    <row r="31" spans="1:16" s="31" customFormat="1" ht="56.25" customHeight="1">
      <c r="A31" s="73" t="s">
        <v>874</v>
      </c>
      <c r="B31" s="37"/>
      <c r="C31" s="148" t="s">
        <v>875</v>
      </c>
      <c r="D31" s="37" t="s">
        <v>118</v>
      </c>
      <c r="E31" s="88">
        <v>2</v>
      </c>
      <c r="F31" s="78"/>
      <c r="G31" s="77"/>
      <c r="H31" s="78"/>
      <c r="I31" s="78"/>
      <c r="J31" s="78"/>
      <c r="K31" s="78"/>
      <c r="L31" s="78"/>
      <c r="M31" s="78"/>
      <c r="N31" s="78"/>
      <c r="O31" s="78"/>
      <c r="P31" s="78"/>
    </row>
    <row r="32" spans="1:16" s="31" customFormat="1" ht="29.25" customHeight="1">
      <c r="A32" s="73" t="s">
        <v>876</v>
      </c>
      <c r="B32" s="37"/>
      <c r="C32" s="148" t="s">
        <v>877</v>
      </c>
      <c r="D32" s="37" t="s">
        <v>203</v>
      </c>
      <c r="E32" s="88">
        <v>2</v>
      </c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1:16" s="31" customFormat="1" ht="77.25" customHeight="1">
      <c r="A33" s="73" t="s">
        <v>878</v>
      </c>
      <c r="B33" s="37"/>
      <c r="C33" s="148" t="s">
        <v>879</v>
      </c>
      <c r="D33" s="37" t="s">
        <v>118</v>
      </c>
      <c r="E33" s="88">
        <v>1</v>
      </c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1:16" s="31" customFormat="1" ht="27" customHeight="1">
      <c r="A34" s="73" t="s">
        <v>880</v>
      </c>
      <c r="B34" s="37"/>
      <c r="C34" s="148" t="s">
        <v>881</v>
      </c>
      <c r="D34" s="37" t="s">
        <v>167</v>
      </c>
      <c r="E34" s="88">
        <v>7</v>
      </c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1:16" s="31" customFormat="1" ht="27.75" customHeight="1">
      <c r="A35" s="73" t="s">
        <v>882</v>
      </c>
      <c r="B35" s="37"/>
      <c r="C35" s="148" t="s">
        <v>883</v>
      </c>
      <c r="D35" s="37" t="s">
        <v>167</v>
      </c>
      <c r="E35" s="88">
        <v>1</v>
      </c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1:16" s="31" customFormat="1" ht="24" customHeight="1">
      <c r="A36" s="73" t="s">
        <v>884</v>
      </c>
      <c r="B36" s="37"/>
      <c r="C36" s="148" t="s">
        <v>885</v>
      </c>
      <c r="D36" s="37" t="s">
        <v>167</v>
      </c>
      <c r="E36" s="88">
        <v>1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1:16" s="31" customFormat="1" ht="16.5" customHeight="1">
      <c r="A37" s="94"/>
      <c r="B37" s="36"/>
      <c r="C37" s="95"/>
      <c r="D37" s="36"/>
      <c r="E37" s="256"/>
      <c r="F37" s="250"/>
      <c r="G37" s="251"/>
      <c r="H37" s="252"/>
      <c r="I37" s="252"/>
      <c r="J37" s="252"/>
      <c r="K37" s="252"/>
      <c r="L37" s="252"/>
      <c r="M37" s="252"/>
      <c r="N37" s="252"/>
      <c r="O37" s="252"/>
      <c r="P37" s="252"/>
    </row>
    <row r="49" ht="21.75">
      <c r="E49" s="257"/>
    </row>
  </sheetData>
  <mergeCells count="10">
    <mergeCell ref="N8:O8"/>
    <mergeCell ref="I9:P9"/>
    <mergeCell ref="A10:H10"/>
    <mergeCell ref="A11:A12"/>
    <mergeCell ref="B11:B12"/>
    <mergeCell ref="C11:C12"/>
    <mergeCell ref="D11:D12"/>
    <mergeCell ref="E11:E12"/>
    <mergeCell ref="F11:K11"/>
    <mergeCell ref="L11:P11"/>
  </mergeCells>
  <printOptions horizontalCentered="1"/>
  <pageMargins left="0.39375" right="0.39375" top="0.9840277777777777" bottom="0.5902777777777778" header="0.5118055555555555" footer="0.19652777777777777"/>
  <pageSetup horizontalDpi="300" verticalDpi="300" orientation="landscape" paperSize="9" scale="85"/>
  <headerFooter alignWithMargins="0">
    <oddFooter>&amp;CPage &amp;P&amp;R&amp;A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32"/>
  <sheetViews>
    <sheetView zoomScaleSheetLayoutView="140" workbookViewId="0" topLeftCell="A1">
      <selection activeCell="J5" sqref="J5"/>
    </sheetView>
  </sheetViews>
  <sheetFormatPr defaultColWidth="9.140625" defaultRowHeight="12.75"/>
  <cols>
    <col min="1" max="1" width="7.140625" style="9" customWidth="1"/>
    <col min="2" max="2" width="5.00390625" style="9" customWidth="1"/>
    <col min="3" max="3" width="33.57421875" style="9" customWidth="1"/>
    <col min="4" max="4" width="7.140625" style="135" customWidth="1"/>
    <col min="5" max="10" width="8.57421875" style="9" customWidth="1"/>
    <col min="11" max="17" width="10.00390625" style="9" customWidth="1"/>
    <col min="18" max="16384" width="9.140625" style="9" customWidth="1"/>
  </cols>
  <sheetData>
    <row r="1" spans="1:16" ht="14.25">
      <c r="A1" s="58"/>
      <c r="B1" s="58"/>
      <c r="C1" s="58"/>
      <c r="D1" s="58"/>
      <c r="E1" s="58"/>
      <c r="F1" s="58"/>
      <c r="G1" s="58" t="s">
        <v>886</v>
      </c>
      <c r="H1" s="58"/>
      <c r="I1" s="58"/>
      <c r="J1" s="58"/>
      <c r="K1" s="58"/>
      <c r="L1" s="58"/>
      <c r="M1" s="58"/>
      <c r="N1" s="58"/>
      <c r="O1" s="58"/>
      <c r="P1" s="58"/>
    </row>
    <row r="2" spans="1:16" ht="14.25">
      <c r="A2" s="59"/>
      <c r="B2" s="59"/>
      <c r="C2" s="59"/>
      <c r="D2" s="59"/>
      <c r="E2" s="59"/>
      <c r="F2" s="59"/>
      <c r="G2" s="59" t="s">
        <v>887</v>
      </c>
      <c r="H2" s="59"/>
      <c r="I2" s="59"/>
      <c r="J2" s="59"/>
      <c r="K2" s="59"/>
      <c r="L2" s="59"/>
      <c r="M2" s="59"/>
      <c r="N2" s="59"/>
      <c r="O2" s="59"/>
      <c r="P2" s="59"/>
    </row>
    <row r="3" spans="1:16" ht="14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16" ht="14.25">
      <c r="A4" s="7" t="s">
        <v>23</v>
      </c>
      <c r="B4" s="8"/>
      <c r="C4"/>
      <c r="D4" s="7" t="s">
        <v>24</v>
      </c>
      <c r="E4" s="60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</row>
    <row r="5" spans="1:16" ht="14.25">
      <c r="A5" s="7" t="s">
        <v>25</v>
      </c>
      <c r="B5" s="10"/>
      <c r="C5"/>
      <c r="D5" s="32" t="s">
        <v>26</v>
      </c>
      <c r="E5" s="8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</row>
    <row r="6" spans="1:16" s="9" customFormat="1" ht="14.25">
      <c r="A6" s="7" t="s">
        <v>4</v>
      </c>
      <c r="B6" s="8"/>
      <c r="C6"/>
      <c r="E6" s="8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</row>
    <row r="7" spans="1:16" ht="12.75" customHeight="1">
      <c r="A7" s="10" t="s">
        <v>5</v>
      </c>
      <c r="B7" s="11"/>
      <c r="C7"/>
      <c r="D7" s="9" t="s">
        <v>6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2.75" customHeight="1">
      <c r="A8" s="7" t="s">
        <v>7</v>
      </c>
      <c r="B8" s="10"/>
      <c r="C8"/>
      <c r="D8" s="51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5" ht="12.75" customHeight="1">
      <c r="A9" s="7" t="s">
        <v>9</v>
      </c>
      <c r="B9" s="8"/>
      <c r="C9"/>
      <c r="D9" s="7" t="s">
        <v>10</v>
      </c>
      <c r="E9" s="10"/>
    </row>
    <row r="10" spans="1:16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5.75" customHeight="1">
      <c r="A11" s="39" t="s">
        <v>56</v>
      </c>
      <c r="B11" s="65" t="s">
        <v>57</v>
      </c>
      <c r="C11" s="66" t="s">
        <v>58</v>
      </c>
      <c r="D11" s="65" t="s">
        <v>59</v>
      </c>
      <c r="E11" s="65" t="s">
        <v>60</v>
      </c>
      <c r="F11" s="66" t="s">
        <v>61</v>
      </c>
      <c r="G11" s="66"/>
      <c r="H11" s="66"/>
      <c r="I11" s="66"/>
      <c r="J11" s="66"/>
      <c r="K11" s="66"/>
      <c r="L11" s="66" t="s">
        <v>62</v>
      </c>
      <c r="M11" s="66" t="s">
        <v>62</v>
      </c>
      <c r="N11" s="66"/>
      <c r="O11" s="66"/>
      <c r="P11" s="66"/>
    </row>
    <row r="12" spans="1:16" ht="59.25" customHeight="1">
      <c r="A12" s="39"/>
      <c r="B12" s="65"/>
      <c r="C12" s="66"/>
      <c r="D12" s="65"/>
      <c r="E12" s="65"/>
      <c r="F12" s="65" t="s">
        <v>63</v>
      </c>
      <c r="G12" s="65" t="s">
        <v>64</v>
      </c>
      <c r="H12" s="65" t="s">
        <v>65</v>
      </c>
      <c r="I12" s="65" t="s">
        <v>66</v>
      </c>
      <c r="J12" s="65" t="s">
        <v>67</v>
      </c>
      <c r="K12" s="65" t="s">
        <v>68</v>
      </c>
      <c r="L12" s="65" t="s">
        <v>49</v>
      </c>
      <c r="M12" s="65" t="s">
        <v>69</v>
      </c>
      <c r="N12" s="65" t="s">
        <v>70</v>
      </c>
      <c r="O12" s="65" t="s">
        <v>67</v>
      </c>
      <c r="P12" s="65" t="s">
        <v>71</v>
      </c>
    </row>
    <row r="13" spans="1:16" s="155" customFormat="1" ht="15" customHeight="1">
      <c r="A13" s="137">
        <v>1</v>
      </c>
      <c r="B13" s="137">
        <v>2</v>
      </c>
      <c r="C13" s="137">
        <v>3</v>
      </c>
      <c r="D13" s="137">
        <v>4</v>
      </c>
      <c r="E13" s="137">
        <v>5</v>
      </c>
      <c r="F13" s="137">
        <v>6</v>
      </c>
      <c r="G13" s="137">
        <v>7</v>
      </c>
      <c r="H13" s="137">
        <v>8</v>
      </c>
      <c r="I13" s="137">
        <v>9</v>
      </c>
      <c r="J13" s="137">
        <v>10</v>
      </c>
      <c r="K13" s="137">
        <v>11</v>
      </c>
      <c r="L13" s="137">
        <v>12</v>
      </c>
      <c r="M13" s="137">
        <v>13</v>
      </c>
      <c r="N13" s="137">
        <v>14</v>
      </c>
      <c r="O13" s="137">
        <v>15</v>
      </c>
      <c r="P13" s="137">
        <v>16</v>
      </c>
    </row>
    <row r="14" spans="1:16" s="218" customFormat="1" ht="13.5" customHeight="1">
      <c r="A14" s="138"/>
      <c r="B14" s="138"/>
      <c r="C14" s="19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</row>
    <row r="15" spans="1:19" s="227" customFormat="1" ht="24.75" customHeight="1">
      <c r="A15" s="73" t="s">
        <v>888</v>
      </c>
      <c r="B15" s="231"/>
      <c r="C15" s="148" t="s">
        <v>889</v>
      </c>
      <c r="D15" s="258" t="s">
        <v>665</v>
      </c>
      <c r="E15" s="258">
        <v>1</v>
      </c>
      <c r="F15" s="80"/>
      <c r="G15" s="80"/>
      <c r="H15" s="80"/>
      <c r="I15" s="78"/>
      <c r="J15" s="80"/>
      <c r="K15" s="80"/>
      <c r="L15" s="80"/>
      <c r="M15" s="80"/>
      <c r="N15" s="80"/>
      <c r="O15" s="80"/>
      <c r="P15" s="80"/>
      <c r="Q15" s="259"/>
      <c r="R15" s="260"/>
      <c r="S15" s="259"/>
    </row>
    <row r="16" spans="1:19" s="227" customFormat="1" ht="21.75" customHeight="1">
      <c r="A16" s="73" t="s">
        <v>890</v>
      </c>
      <c r="B16" s="231"/>
      <c r="C16" s="148" t="s">
        <v>891</v>
      </c>
      <c r="D16" s="258" t="s">
        <v>665</v>
      </c>
      <c r="E16" s="258">
        <v>2</v>
      </c>
      <c r="F16" s="80"/>
      <c r="G16" s="80"/>
      <c r="H16" s="80"/>
      <c r="I16" s="78"/>
      <c r="J16" s="80"/>
      <c r="K16" s="80"/>
      <c r="L16" s="80"/>
      <c r="M16" s="80"/>
      <c r="N16" s="80"/>
      <c r="O16" s="80"/>
      <c r="P16" s="80"/>
      <c r="Q16" s="259"/>
      <c r="R16" s="260"/>
      <c r="S16" s="259"/>
    </row>
    <row r="17" spans="1:19" s="227" customFormat="1" ht="21.75" customHeight="1">
      <c r="A17" s="73" t="s">
        <v>892</v>
      </c>
      <c r="B17" s="231"/>
      <c r="C17" s="261" t="s">
        <v>893</v>
      </c>
      <c r="D17" s="258" t="s">
        <v>665</v>
      </c>
      <c r="E17" s="258">
        <v>1</v>
      </c>
      <c r="F17" s="80"/>
      <c r="G17" s="80"/>
      <c r="H17" s="80"/>
      <c r="I17" s="78"/>
      <c r="J17" s="80"/>
      <c r="K17" s="80"/>
      <c r="L17" s="80"/>
      <c r="M17" s="80"/>
      <c r="N17" s="80"/>
      <c r="O17" s="80"/>
      <c r="P17" s="80"/>
      <c r="Q17" s="259"/>
      <c r="R17" s="260"/>
      <c r="S17" s="259"/>
    </row>
    <row r="18" spans="1:19" s="227" customFormat="1" ht="21.75" customHeight="1">
      <c r="A18" s="73" t="s">
        <v>894</v>
      </c>
      <c r="B18" s="231"/>
      <c r="C18" s="262" t="s">
        <v>895</v>
      </c>
      <c r="D18" s="258" t="s">
        <v>665</v>
      </c>
      <c r="E18" s="258">
        <v>2</v>
      </c>
      <c r="F18" s="80"/>
      <c r="G18" s="80"/>
      <c r="H18" s="80"/>
      <c r="I18" s="78"/>
      <c r="J18" s="80"/>
      <c r="K18" s="80"/>
      <c r="L18" s="80"/>
      <c r="M18" s="80"/>
      <c r="N18" s="80"/>
      <c r="O18" s="80"/>
      <c r="P18" s="80"/>
      <c r="Q18" s="259"/>
      <c r="R18" s="260"/>
      <c r="S18" s="259"/>
    </row>
    <row r="19" spans="1:19" s="227" customFormat="1" ht="21.75" customHeight="1">
      <c r="A19" s="73" t="s">
        <v>896</v>
      </c>
      <c r="B19" s="231"/>
      <c r="C19" s="148" t="s">
        <v>897</v>
      </c>
      <c r="D19" s="258" t="s">
        <v>665</v>
      </c>
      <c r="E19" s="258">
        <v>24</v>
      </c>
      <c r="F19" s="80"/>
      <c r="G19" s="80"/>
      <c r="H19" s="80"/>
      <c r="I19" s="78"/>
      <c r="J19" s="80"/>
      <c r="K19" s="80"/>
      <c r="L19" s="80"/>
      <c r="M19" s="80"/>
      <c r="N19" s="80"/>
      <c r="O19" s="80"/>
      <c r="P19" s="80"/>
      <c r="Q19" s="259"/>
      <c r="R19" s="260"/>
      <c r="S19" s="259"/>
    </row>
    <row r="20" spans="1:19" s="227" customFormat="1" ht="21.75" customHeight="1">
      <c r="A20" s="73" t="s">
        <v>898</v>
      </c>
      <c r="B20" s="231"/>
      <c r="C20" s="148" t="s">
        <v>899</v>
      </c>
      <c r="D20" s="258" t="s">
        <v>665</v>
      </c>
      <c r="E20" s="258">
        <v>7</v>
      </c>
      <c r="F20" s="80"/>
      <c r="G20" s="80"/>
      <c r="H20" s="80"/>
      <c r="I20" s="78"/>
      <c r="J20" s="80"/>
      <c r="K20" s="80"/>
      <c r="L20" s="80"/>
      <c r="M20" s="80"/>
      <c r="N20" s="80"/>
      <c r="O20" s="80"/>
      <c r="P20" s="80"/>
      <c r="Q20" s="259"/>
      <c r="R20" s="260"/>
      <c r="S20" s="259"/>
    </row>
    <row r="21" spans="1:19" s="227" customFormat="1" ht="21.75" customHeight="1">
      <c r="A21" s="73" t="s">
        <v>900</v>
      </c>
      <c r="B21" s="231"/>
      <c r="C21" s="148" t="s">
        <v>901</v>
      </c>
      <c r="D21" s="258" t="s">
        <v>665</v>
      </c>
      <c r="E21" s="258">
        <v>6</v>
      </c>
      <c r="F21" s="80"/>
      <c r="G21" s="80"/>
      <c r="H21" s="80"/>
      <c r="I21" s="78"/>
      <c r="J21" s="80"/>
      <c r="K21" s="80"/>
      <c r="L21" s="80"/>
      <c r="M21" s="80"/>
      <c r="N21" s="80"/>
      <c r="O21" s="80"/>
      <c r="P21" s="80"/>
      <c r="Q21" s="259"/>
      <c r="R21" s="260"/>
      <c r="S21" s="259"/>
    </row>
    <row r="22" spans="1:19" s="227" customFormat="1" ht="21.75" customHeight="1">
      <c r="A22" s="73" t="s">
        <v>902</v>
      </c>
      <c r="B22" s="231"/>
      <c r="C22" s="148" t="s">
        <v>903</v>
      </c>
      <c r="D22" s="258" t="s">
        <v>665</v>
      </c>
      <c r="E22" s="258">
        <v>7</v>
      </c>
      <c r="F22" s="80"/>
      <c r="G22" s="80"/>
      <c r="H22" s="80"/>
      <c r="I22" s="78"/>
      <c r="J22" s="80"/>
      <c r="K22" s="80"/>
      <c r="L22" s="80"/>
      <c r="M22" s="80"/>
      <c r="N22" s="80"/>
      <c r="O22" s="80"/>
      <c r="P22" s="80"/>
      <c r="Q22" s="259"/>
      <c r="R22" s="260"/>
      <c r="S22" s="259"/>
    </row>
    <row r="23" spans="1:19" s="227" customFormat="1" ht="21.75" customHeight="1">
      <c r="A23" s="73" t="s">
        <v>904</v>
      </c>
      <c r="B23" s="231"/>
      <c r="C23" s="148" t="s">
        <v>905</v>
      </c>
      <c r="D23" s="258" t="s">
        <v>665</v>
      </c>
      <c r="E23" s="258">
        <v>1</v>
      </c>
      <c r="F23" s="80"/>
      <c r="G23" s="80"/>
      <c r="H23" s="80"/>
      <c r="I23" s="78"/>
      <c r="J23" s="80"/>
      <c r="K23" s="80"/>
      <c r="L23" s="80"/>
      <c r="M23" s="80"/>
      <c r="N23" s="80"/>
      <c r="O23" s="80"/>
      <c r="P23" s="80"/>
      <c r="Q23" s="259"/>
      <c r="R23" s="260"/>
      <c r="S23" s="259"/>
    </row>
    <row r="24" spans="1:19" s="227" customFormat="1" ht="21.75" customHeight="1">
      <c r="A24" s="73" t="s">
        <v>906</v>
      </c>
      <c r="B24" s="231"/>
      <c r="C24" s="148" t="s">
        <v>907</v>
      </c>
      <c r="D24" s="258" t="s">
        <v>665</v>
      </c>
      <c r="E24" s="258">
        <v>4</v>
      </c>
      <c r="F24" s="80"/>
      <c r="G24" s="80"/>
      <c r="H24" s="80"/>
      <c r="I24" s="78"/>
      <c r="J24" s="80"/>
      <c r="K24" s="80"/>
      <c r="L24" s="80"/>
      <c r="M24" s="80"/>
      <c r="N24" s="80"/>
      <c r="O24" s="80"/>
      <c r="P24" s="80"/>
      <c r="Q24" s="259"/>
      <c r="R24" s="260"/>
      <c r="S24" s="259"/>
    </row>
    <row r="25" spans="1:19" s="265" customFormat="1" ht="21.75" customHeight="1">
      <c r="A25" s="73" t="s">
        <v>908</v>
      </c>
      <c r="B25" s="263"/>
      <c r="C25" s="148" t="s">
        <v>909</v>
      </c>
      <c r="D25" s="258" t="s">
        <v>665</v>
      </c>
      <c r="E25" s="258">
        <v>8</v>
      </c>
      <c r="F25" s="80"/>
      <c r="G25" s="80"/>
      <c r="H25" s="80"/>
      <c r="I25" s="78"/>
      <c r="J25" s="80"/>
      <c r="K25" s="80"/>
      <c r="L25" s="80"/>
      <c r="M25" s="80"/>
      <c r="N25" s="80"/>
      <c r="O25" s="80"/>
      <c r="P25" s="80"/>
      <c r="Q25" s="259"/>
      <c r="R25" s="260"/>
      <c r="S25" s="264"/>
    </row>
    <row r="26" spans="1:19" s="265" customFormat="1" ht="29.25" customHeight="1">
      <c r="A26" s="73" t="s">
        <v>910</v>
      </c>
      <c r="B26" s="263"/>
      <c r="C26" s="148" t="s">
        <v>911</v>
      </c>
      <c r="D26" s="258" t="s">
        <v>77</v>
      </c>
      <c r="E26" s="258">
        <v>130</v>
      </c>
      <c r="F26" s="80"/>
      <c r="G26" s="80"/>
      <c r="H26" s="80"/>
      <c r="I26" s="78"/>
      <c r="J26" s="80"/>
      <c r="K26" s="80"/>
      <c r="L26" s="80"/>
      <c r="M26" s="80"/>
      <c r="N26" s="80"/>
      <c r="O26" s="80"/>
      <c r="P26" s="80"/>
      <c r="Q26" s="259"/>
      <c r="R26" s="260"/>
      <c r="S26" s="264"/>
    </row>
    <row r="27" spans="1:19" s="265" customFormat="1" ht="29.25" customHeight="1">
      <c r="A27" s="73" t="s">
        <v>912</v>
      </c>
      <c r="B27" s="263"/>
      <c r="C27" s="148" t="s">
        <v>913</v>
      </c>
      <c r="D27" s="258" t="s">
        <v>77</v>
      </c>
      <c r="E27" s="258">
        <v>450</v>
      </c>
      <c r="F27" s="80"/>
      <c r="G27" s="80"/>
      <c r="H27" s="80"/>
      <c r="I27" s="78"/>
      <c r="J27" s="80"/>
      <c r="K27" s="80"/>
      <c r="L27" s="80"/>
      <c r="M27" s="80"/>
      <c r="N27" s="80"/>
      <c r="O27" s="80"/>
      <c r="P27" s="80"/>
      <c r="Q27" s="259"/>
      <c r="R27" s="260"/>
      <c r="S27" s="264"/>
    </row>
    <row r="28" spans="1:19" s="265" customFormat="1" ht="30.75" customHeight="1">
      <c r="A28" s="73" t="s">
        <v>914</v>
      </c>
      <c r="B28" s="263"/>
      <c r="C28" s="148" t="s">
        <v>915</v>
      </c>
      <c r="D28" s="258" t="s">
        <v>77</v>
      </c>
      <c r="E28" s="258">
        <v>25</v>
      </c>
      <c r="F28" s="80"/>
      <c r="G28" s="80"/>
      <c r="H28" s="80"/>
      <c r="I28" s="78"/>
      <c r="J28" s="80"/>
      <c r="K28" s="80"/>
      <c r="L28" s="80"/>
      <c r="M28" s="80"/>
      <c r="N28" s="80"/>
      <c r="O28" s="80"/>
      <c r="P28" s="80"/>
      <c r="Q28" s="259"/>
      <c r="R28" s="260"/>
      <c r="S28" s="264"/>
    </row>
    <row r="29" spans="1:19" s="265" customFormat="1" ht="20.25" customHeight="1">
      <c r="A29" s="73" t="s">
        <v>916</v>
      </c>
      <c r="B29" s="263"/>
      <c r="C29" s="148" t="s">
        <v>917</v>
      </c>
      <c r="D29" s="258" t="s">
        <v>665</v>
      </c>
      <c r="E29" s="258">
        <v>1</v>
      </c>
      <c r="F29" s="80"/>
      <c r="G29" s="80"/>
      <c r="H29" s="80"/>
      <c r="I29" s="78"/>
      <c r="J29" s="80"/>
      <c r="K29" s="80"/>
      <c r="L29" s="80"/>
      <c r="M29" s="80"/>
      <c r="N29" s="80"/>
      <c r="O29" s="80"/>
      <c r="P29" s="80"/>
      <c r="Q29" s="259"/>
      <c r="R29" s="260"/>
      <c r="S29" s="264"/>
    </row>
    <row r="30" spans="1:19" s="265" customFormat="1" ht="20.25" customHeight="1">
      <c r="A30" s="73" t="s">
        <v>918</v>
      </c>
      <c r="B30" s="263"/>
      <c r="C30" s="148" t="s">
        <v>919</v>
      </c>
      <c r="D30" s="258" t="s">
        <v>77</v>
      </c>
      <c r="E30" s="258">
        <v>80</v>
      </c>
      <c r="F30" s="80"/>
      <c r="G30" s="80"/>
      <c r="H30" s="80"/>
      <c r="I30" s="78"/>
      <c r="J30" s="80"/>
      <c r="K30" s="80"/>
      <c r="L30" s="80"/>
      <c r="M30" s="80"/>
      <c r="N30" s="80"/>
      <c r="O30" s="80"/>
      <c r="P30" s="80"/>
      <c r="Q30" s="259"/>
      <c r="R30" s="260"/>
      <c r="S30" s="264"/>
    </row>
    <row r="31" spans="1:19" s="227" customFormat="1" ht="17.25" customHeight="1">
      <c r="A31" s="73" t="s">
        <v>920</v>
      </c>
      <c r="B31" s="231"/>
      <c r="C31" s="148" t="s">
        <v>921</v>
      </c>
      <c r="D31" s="258" t="s">
        <v>665</v>
      </c>
      <c r="E31" s="258">
        <v>3</v>
      </c>
      <c r="F31" s="80"/>
      <c r="G31" s="80"/>
      <c r="H31" s="80"/>
      <c r="I31" s="78"/>
      <c r="J31" s="80"/>
      <c r="K31" s="80"/>
      <c r="L31" s="80"/>
      <c r="M31" s="80"/>
      <c r="N31" s="80"/>
      <c r="O31" s="80"/>
      <c r="P31" s="80"/>
      <c r="Q31" s="259"/>
      <c r="R31" s="260"/>
      <c r="S31" s="259"/>
    </row>
    <row r="32" spans="1:19" s="227" customFormat="1" ht="18" customHeight="1">
      <c r="A32" s="73" t="s">
        <v>922</v>
      </c>
      <c r="B32" s="231"/>
      <c r="C32" s="79" t="s">
        <v>162</v>
      </c>
      <c r="D32" s="258" t="s">
        <v>118</v>
      </c>
      <c r="E32" s="258">
        <v>1</v>
      </c>
      <c r="F32" s="80"/>
      <c r="G32" s="80"/>
      <c r="H32" s="80"/>
      <c r="I32" s="78"/>
      <c r="J32" s="80"/>
      <c r="K32" s="80"/>
      <c r="L32" s="80"/>
      <c r="M32" s="80"/>
      <c r="N32" s="80"/>
      <c r="O32" s="80"/>
      <c r="P32" s="80"/>
      <c r="Q32" s="259"/>
      <c r="R32" s="260"/>
      <c r="S32" s="259"/>
    </row>
  </sheetData>
  <mergeCells count="9">
    <mergeCell ref="A10:C10"/>
    <mergeCell ref="D10:P10"/>
    <mergeCell ref="A11:A12"/>
    <mergeCell ref="B11:B12"/>
    <mergeCell ref="C11:C12"/>
    <mergeCell ref="D11:D12"/>
    <mergeCell ref="E11:E12"/>
    <mergeCell ref="F11:K11"/>
    <mergeCell ref="L11:P11"/>
  </mergeCells>
  <printOptions horizontalCentered="1"/>
  <pageMargins left="0.39375" right="0.39375" top="0.7875" bottom="0.39305555555555555" header="0.5118055555555555" footer="0.19652777777777777"/>
  <pageSetup horizontalDpi="300" verticalDpi="300" orientation="landscape" paperSize="9" scale="85"/>
  <headerFooter alignWithMargins="0">
    <oddFooter>&amp;CPage &amp;P&amp;R&amp;A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134"/>
  <sheetViews>
    <sheetView zoomScale="75" zoomScaleNormal="75" zoomScaleSheetLayoutView="140" workbookViewId="0" topLeftCell="A1">
      <selection activeCell="I9" sqref="I9"/>
    </sheetView>
  </sheetViews>
  <sheetFormatPr defaultColWidth="9.140625" defaultRowHeight="12.75"/>
  <cols>
    <col min="1" max="1" width="7.140625" style="9" customWidth="1"/>
    <col min="2" max="2" width="5.00390625" style="9" customWidth="1"/>
    <col min="3" max="3" width="33.57421875" style="9" customWidth="1"/>
    <col min="4" max="4" width="7.140625" style="135" customWidth="1"/>
    <col min="5" max="5" width="6.140625" style="9" customWidth="1"/>
    <col min="6" max="6" width="6.57421875" style="9" customWidth="1"/>
    <col min="7" max="7" width="8.00390625" style="9" customWidth="1"/>
    <col min="8" max="8" width="7.57421875" style="9" customWidth="1"/>
    <col min="9" max="9" width="9.57421875" style="9" customWidth="1"/>
    <col min="10" max="10" width="8.57421875" style="9" customWidth="1"/>
    <col min="11" max="16" width="10.00390625" style="9" customWidth="1"/>
    <col min="17" max="16384" width="9.140625" style="9" customWidth="1"/>
  </cols>
  <sheetData>
    <row r="1" spans="1:16" ht="14.25">
      <c r="A1" s="58"/>
      <c r="B1" s="58"/>
      <c r="C1" s="58"/>
      <c r="D1" s="58"/>
      <c r="E1" s="58"/>
      <c r="F1" s="58"/>
      <c r="G1" s="58" t="s">
        <v>923</v>
      </c>
      <c r="H1" s="58"/>
      <c r="I1" s="58"/>
      <c r="J1" s="58"/>
      <c r="K1" s="58"/>
      <c r="L1" s="58"/>
      <c r="M1" s="58"/>
      <c r="N1" s="58"/>
      <c r="O1" s="58"/>
      <c r="P1" s="58"/>
    </row>
    <row r="2" spans="1:16" ht="14.25">
      <c r="A2" s="59"/>
      <c r="B2" s="59"/>
      <c r="C2" s="59"/>
      <c r="D2" s="59"/>
      <c r="E2" s="59"/>
      <c r="F2" s="59"/>
      <c r="G2" s="59" t="s">
        <v>924</v>
      </c>
      <c r="H2" s="59"/>
      <c r="I2" s="59"/>
      <c r="J2" s="59"/>
      <c r="K2" s="59"/>
      <c r="L2" s="59"/>
      <c r="M2" s="59"/>
      <c r="N2" s="59"/>
      <c r="O2" s="59"/>
      <c r="P2" s="59"/>
    </row>
    <row r="3" spans="1:16" ht="14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16" ht="12.75" customHeight="1">
      <c r="A4" s="7" t="s">
        <v>23</v>
      </c>
      <c r="B4" s="8"/>
      <c r="C4"/>
      <c r="D4" s="7" t="s">
        <v>24</v>
      </c>
      <c r="E4" s="60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2.75" customHeight="1">
      <c r="A5" s="7" t="s">
        <v>25</v>
      </c>
      <c r="B5" s="10"/>
      <c r="C5"/>
      <c r="D5" s="32" t="s">
        <v>26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5" s="9" customFormat="1" ht="12.75" customHeight="1">
      <c r="A6" s="7" t="s">
        <v>4</v>
      </c>
      <c r="B6" s="8"/>
      <c r="C6"/>
      <c r="E6" s="8"/>
    </row>
    <row r="7" spans="1:16" ht="12.75" customHeight="1">
      <c r="A7" s="10" t="s">
        <v>5</v>
      </c>
      <c r="B7" s="11"/>
      <c r="C7"/>
      <c r="D7" s="9" t="s">
        <v>6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2.75" customHeight="1">
      <c r="A8" s="7" t="s">
        <v>7</v>
      </c>
      <c r="B8" s="10"/>
      <c r="C8"/>
      <c r="D8" s="51" t="s">
        <v>8</v>
      </c>
      <c r="F8" s="10"/>
      <c r="G8" s="10"/>
      <c r="H8" s="10"/>
      <c r="I8" s="61"/>
      <c r="J8" s="61"/>
      <c r="K8" s="62"/>
      <c r="L8" s="62"/>
      <c r="M8" s="61"/>
      <c r="N8" s="63"/>
      <c r="O8" s="63"/>
      <c r="P8" s="61"/>
    </row>
    <row r="9" spans="1:16" ht="12">
      <c r="A9" s="7" t="s">
        <v>9</v>
      </c>
      <c r="B9" s="8"/>
      <c r="C9"/>
      <c r="D9" s="7" t="s">
        <v>10</v>
      </c>
      <c r="E9" s="10"/>
      <c r="I9" s="7"/>
      <c r="J9" s="7"/>
      <c r="K9" s="7"/>
      <c r="L9" s="7"/>
      <c r="M9" s="7"/>
      <c r="N9" s="7"/>
      <c r="O9" s="7"/>
      <c r="P9" s="7"/>
    </row>
    <row r="10" spans="1:8" ht="12.75" customHeight="1">
      <c r="A10" s="7"/>
      <c r="B10" s="7"/>
      <c r="C10" s="7"/>
      <c r="D10" s="7"/>
      <c r="E10" s="7"/>
      <c r="F10" s="7"/>
      <c r="G10" s="7"/>
      <c r="H10" s="7"/>
    </row>
    <row r="11" spans="1:16" ht="15.75" customHeight="1">
      <c r="A11" s="39" t="s">
        <v>56</v>
      </c>
      <c r="B11" s="65" t="s">
        <v>57</v>
      </c>
      <c r="C11" s="66" t="s">
        <v>58</v>
      </c>
      <c r="D11" s="65" t="s">
        <v>59</v>
      </c>
      <c r="E11" s="65" t="s">
        <v>60</v>
      </c>
      <c r="F11" s="66" t="s">
        <v>61</v>
      </c>
      <c r="G11" s="66"/>
      <c r="H11" s="66"/>
      <c r="I11" s="66"/>
      <c r="J11" s="66"/>
      <c r="K11" s="66"/>
      <c r="L11" s="66" t="s">
        <v>62</v>
      </c>
      <c r="M11" s="66" t="s">
        <v>62</v>
      </c>
      <c r="N11" s="66"/>
      <c r="O11" s="66"/>
      <c r="P11" s="66"/>
    </row>
    <row r="12" spans="1:16" ht="59.25" customHeight="1">
      <c r="A12" s="39"/>
      <c r="B12" s="65"/>
      <c r="C12" s="66"/>
      <c r="D12" s="65"/>
      <c r="E12" s="65"/>
      <c r="F12" s="65" t="s">
        <v>63</v>
      </c>
      <c r="G12" s="65" t="s">
        <v>64</v>
      </c>
      <c r="H12" s="65" t="s">
        <v>65</v>
      </c>
      <c r="I12" s="65" t="s">
        <v>66</v>
      </c>
      <c r="J12" s="65" t="s">
        <v>67</v>
      </c>
      <c r="K12" s="65" t="s">
        <v>68</v>
      </c>
      <c r="L12" s="65" t="s">
        <v>49</v>
      </c>
      <c r="M12" s="65" t="s">
        <v>69</v>
      </c>
      <c r="N12" s="65" t="s">
        <v>70</v>
      </c>
      <c r="O12" s="65" t="s">
        <v>67</v>
      </c>
      <c r="P12" s="65" t="s">
        <v>71</v>
      </c>
    </row>
    <row r="13" spans="1:16" s="155" customFormat="1" ht="15" customHeight="1">
      <c r="A13" s="137">
        <v>1</v>
      </c>
      <c r="B13" s="137">
        <v>2</v>
      </c>
      <c r="C13" s="137">
        <v>3</v>
      </c>
      <c r="D13" s="137">
        <v>4</v>
      </c>
      <c r="E13" s="137">
        <v>5</v>
      </c>
      <c r="F13" s="137">
        <v>6</v>
      </c>
      <c r="G13" s="137">
        <v>7</v>
      </c>
      <c r="H13" s="137">
        <v>8</v>
      </c>
      <c r="I13" s="137">
        <v>9</v>
      </c>
      <c r="J13" s="137">
        <v>10</v>
      </c>
      <c r="K13" s="137">
        <v>11</v>
      </c>
      <c r="L13" s="137">
        <v>12</v>
      </c>
      <c r="M13" s="137">
        <v>13</v>
      </c>
      <c r="N13" s="137">
        <v>14</v>
      </c>
      <c r="O13" s="137">
        <v>15</v>
      </c>
      <c r="P13" s="137">
        <v>16</v>
      </c>
    </row>
    <row r="14" spans="1:16" s="155" customFormat="1" ht="42" customHeight="1">
      <c r="A14" s="266"/>
      <c r="B14" s="266"/>
      <c r="C14" s="267" t="s">
        <v>925</v>
      </c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</row>
    <row r="15" spans="1:16" s="218" customFormat="1" ht="30.75" customHeight="1">
      <c r="A15" s="268"/>
      <c r="B15" s="269"/>
      <c r="C15" s="270" t="s">
        <v>926</v>
      </c>
      <c r="D15" s="270"/>
      <c r="E15" s="270"/>
      <c r="F15" s="270"/>
      <c r="G15" s="270"/>
      <c r="H15" s="270"/>
      <c r="I15" s="269"/>
      <c r="J15" s="269"/>
      <c r="K15" s="269"/>
      <c r="L15" s="269"/>
      <c r="M15" s="269"/>
      <c r="N15" s="269"/>
      <c r="O15" s="269"/>
      <c r="P15" s="269"/>
    </row>
    <row r="16" spans="1:16" s="61" customFormat="1" ht="17.25" customHeight="1">
      <c r="A16" s="271" t="s">
        <v>927</v>
      </c>
      <c r="B16" s="87"/>
      <c r="C16" s="272" t="s">
        <v>928</v>
      </c>
      <c r="D16" s="273" t="s">
        <v>203</v>
      </c>
      <c r="E16" s="273">
        <f>SUM(E17:E21)</f>
        <v>13</v>
      </c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</row>
    <row r="17" spans="1:16" s="229" customFormat="1" ht="34.5" customHeight="1">
      <c r="A17" s="274" t="s">
        <v>929</v>
      </c>
      <c r="B17" s="219"/>
      <c r="C17" s="275" t="s">
        <v>930</v>
      </c>
      <c r="D17" s="276" t="s">
        <v>203</v>
      </c>
      <c r="E17" s="276">
        <v>1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1:16" s="229" customFormat="1" ht="30" customHeight="1">
      <c r="A18" s="274" t="s">
        <v>931</v>
      </c>
      <c r="B18" s="219"/>
      <c r="C18" s="275" t="s">
        <v>932</v>
      </c>
      <c r="D18" s="276" t="s">
        <v>203</v>
      </c>
      <c r="E18" s="276">
        <v>3</v>
      </c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</row>
    <row r="19" spans="1:16" s="229" customFormat="1" ht="13.5" customHeight="1">
      <c r="A19" s="274" t="s">
        <v>933</v>
      </c>
      <c r="B19" s="219"/>
      <c r="C19" s="275" t="s">
        <v>934</v>
      </c>
      <c r="D19" s="276" t="s">
        <v>203</v>
      </c>
      <c r="E19" s="276">
        <v>6</v>
      </c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</row>
    <row r="20" spans="1:16" s="229" customFormat="1" ht="13.5" customHeight="1">
      <c r="A20" s="274" t="s">
        <v>935</v>
      </c>
      <c r="B20" s="219"/>
      <c r="C20" s="275" t="s">
        <v>936</v>
      </c>
      <c r="D20" s="276" t="s">
        <v>203</v>
      </c>
      <c r="E20" s="276">
        <v>2</v>
      </c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</row>
    <row r="21" spans="1:16" s="229" customFormat="1" ht="13.5" customHeight="1">
      <c r="A21" s="274" t="s">
        <v>937</v>
      </c>
      <c r="B21" s="219"/>
      <c r="C21" s="275" t="s">
        <v>938</v>
      </c>
      <c r="D21" s="276" t="s">
        <v>203</v>
      </c>
      <c r="E21" s="276">
        <v>1</v>
      </c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</row>
    <row r="22" spans="1:16" s="61" customFormat="1" ht="15" customHeight="1">
      <c r="A22" s="271" t="s">
        <v>939</v>
      </c>
      <c r="B22" s="87"/>
      <c r="C22" s="277" t="s">
        <v>940</v>
      </c>
      <c r="D22" s="273" t="s">
        <v>203</v>
      </c>
      <c r="E22" s="278">
        <v>2</v>
      </c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</row>
    <row r="23" spans="1:16" s="229" customFormat="1" ht="15.75" customHeight="1">
      <c r="A23" s="274" t="s">
        <v>941</v>
      </c>
      <c r="B23" s="219"/>
      <c r="C23" s="275" t="s">
        <v>942</v>
      </c>
      <c r="D23" s="276" t="s">
        <v>203</v>
      </c>
      <c r="E23" s="279">
        <v>2</v>
      </c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</row>
    <row r="24" spans="1:16" s="61" customFormat="1" ht="26.25" customHeight="1">
      <c r="A24" s="271" t="s">
        <v>943</v>
      </c>
      <c r="B24" s="87"/>
      <c r="C24" s="272" t="s">
        <v>944</v>
      </c>
      <c r="D24" s="273" t="s">
        <v>77</v>
      </c>
      <c r="E24" s="273">
        <v>5</v>
      </c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</row>
    <row r="25" spans="1:16" s="229" customFormat="1" ht="13.5" customHeight="1">
      <c r="A25" s="274" t="s">
        <v>945</v>
      </c>
      <c r="B25" s="219"/>
      <c r="C25" s="275" t="s">
        <v>946</v>
      </c>
      <c r="D25" s="276" t="s">
        <v>77</v>
      </c>
      <c r="E25" s="276">
        <f>ROUND(E24*1.1,0)</f>
        <v>6</v>
      </c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</row>
    <row r="26" spans="1:16" s="229" customFormat="1" ht="18.75" customHeight="1">
      <c r="A26" s="274" t="s">
        <v>947</v>
      </c>
      <c r="B26" s="219"/>
      <c r="C26" s="275" t="s">
        <v>948</v>
      </c>
      <c r="D26" s="276" t="s">
        <v>203</v>
      </c>
      <c r="E26" s="280">
        <v>1</v>
      </c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</row>
    <row r="27" spans="1:16" s="229" customFormat="1" ht="13.5" customHeight="1">
      <c r="A27" s="274" t="s">
        <v>949</v>
      </c>
      <c r="B27" s="219"/>
      <c r="C27" s="275" t="s">
        <v>950</v>
      </c>
      <c r="D27" s="276" t="s">
        <v>203</v>
      </c>
      <c r="E27" s="276">
        <v>6</v>
      </c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</row>
    <row r="28" spans="1:16" s="61" customFormat="1" ht="26.25" customHeight="1">
      <c r="A28" s="271" t="s">
        <v>951</v>
      </c>
      <c r="B28" s="87"/>
      <c r="C28" s="272" t="s">
        <v>952</v>
      </c>
      <c r="D28" s="273" t="s">
        <v>77</v>
      </c>
      <c r="E28" s="273">
        <v>4.4</v>
      </c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</row>
    <row r="29" spans="1:16" s="229" customFormat="1" ht="13.5" customHeight="1">
      <c r="A29" s="274" t="s">
        <v>953</v>
      </c>
      <c r="B29" s="219"/>
      <c r="C29" s="275" t="s">
        <v>954</v>
      </c>
      <c r="D29" s="276" t="s">
        <v>77</v>
      </c>
      <c r="E29" s="276">
        <v>6</v>
      </c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</row>
    <row r="30" spans="1:16" s="229" customFormat="1" ht="13.5" customHeight="1">
      <c r="A30" s="274" t="s">
        <v>955</v>
      </c>
      <c r="B30" s="219"/>
      <c r="C30" s="275" t="s">
        <v>956</v>
      </c>
      <c r="D30" s="276" t="s">
        <v>203</v>
      </c>
      <c r="E30" s="281">
        <v>1</v>
      </c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</row>
    <row r="31" spans="1:16" s="229" customFormat="1" ht="13.5" customHeight="1">
      <c r="A31" s="274" t="s">
        <v>957</v>
      </c>
      <c r="B31" s="219"/>
      <c r="C31" s="275" t="s">
        <v>958</v>
      </c>
      <c r="D31" s="276" t="s">
        <v>203</v>
      </c>
      <c r="E31" s="281">
        <v>1</v>
      </c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</row>
    <row r="32" spans="1:16" s="229" customFormat="1" ht="13.5" customHeight="1">
      <c r="A32" s="274" t="s">
        <v>959</v>
      </c>
      <c r="B32" s="219"/>
      <c r="C32" s="275" t="s">
        <v>960</v>
      </c>
      <c r="D32" s="276" t="s">
        <v>203</v>
      </c>
      <c r="E32" s="281">
        <v>2</v>
      </c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</row>
    <row r="33" spans="1:16" s="229" customFormat="1" ht="13.5" customHeight="1">
      <c r="A33" s="274" t="s">
        <v>961</v>
      </c>
      <c r="B33" s="219"/>
      <c r="C33" s="275" t="s">
        <v>962</v>
      </c>
      <c r="D33" s="276" t="s">
        <v>203</v>
      </c>
      <c r="E33" s="280">
        <f>ROUND(E29+1,0)</f>
        <v>7</v>
      </c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</row>
    <row r="34" spans="1:16" s="227" customFormat="1" ht="29.25" customHeight="1">
      <c r="A34" s="271" t="s">
        <v>963</v>
      </c>
      <c r="B34" s="147"/>
      <c r="C34" s="272" t="s">
        <v>964</v>
      </c>
      <c r="D34" s="282" t="s">
        <v>77</v>
      </c>
      <c r="E34" s="282">
        <v>7.3</v>
      </c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</row>
    <row r="35" spans="1:16" s="229" customFormat="1" ht="13.5" customHeight="1">
      <c r="A35" s="274" t="s">
        <v>965</v>
      </c>
      <c r="B35" s="219"/>
      <c r="C35" s="275" t="s">
        <v>966</v>
      </c>
      <c r="D35" s="276" t="s">
        <v>77</v>
      </c>
      <c r="E35" s="280">
        <v>9</v>
      </c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</row>
    <row r="36" spans="1:16" s="229" customFormat="1" ht="13.5" customHeight="1">
      <c r="A36" s="274" t="s">
        <v>967</v>
      </c>
      <c r="B36" s="219"/>
      <c r="C36" s="275" t="s">
        <v>968</v>
      </c>
      <c r="D36" s="276" t="s">
        <v>203</v>
      </c>
      <c r="E36" s="281">
        <v>1</v>
      </c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</row>
    <row r="37" spans="1:16" s="229" customFormat="1" ht="13.5" customHeight="1">
      <c r="A37" s="274" t="s">
        <v>969</v>
      </c>
      <c r="B37" s="219"/>
      <c r="C37" s="275" t="s">
        <v>970</v>
      </c>
      <c r="D37" s="276" t="s">
        <v>203</v>
      </c>
      <c r="E37" s="281">
        <v>1</v>
      </c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</row>
    <row r="38" spans="1:16" s="229" customFormat="1" ht="13.5" customHeight="1">
      <c r="A38" s="274" t="s">
        <v>971</v>
      </c>
      <c r="B38" s="219"/>
      <c r="C38" s="275" t="s">
        <v>972</v>
      </c>
      <c r="D38" s="276" t="s">
        <v>203</v>
      </c>
      <c r="E38" s="280">
        <f>ROUND(E34+1,0)</f>
        <v>8</v>
      </c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</row>
    <row r="39" spans="1:16" s="227" customFormat="1" ht="28.5" customHeight="1">
      <c r="A39" s="271" t="s">
        <v>973</v>
      </c>
      <c r="B39" s="147"/>
      <c r="C39" s="272" t="s">
        <v>974</v>
      </c>
      <c r="D39" s="282" t="s">
        <v>77</v>
      </c>
      <c r="E39" s="282">
        <v>18.8</v>
      </c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</row>
    <row r="40" spans="1:16" s="229" customFormat="1" ht="13.5" customHeight="1">
      <c r="A40" s="274" t="s">
        <v>975</v>
      </c>
      <c r="B40" s="219"/>
      <c r="C40" s="275" t="s">
        <v>976</v>
      </c>
      <c r="D40" s="276" t="s">
        <v>77</v>
      </c>
      <c r="E40" s="280">
        <v>21</v>
      </c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</row>
    <row r="41" spans="1:16" s="229" customFormat="1" ht="13.5" customHeight="1">
      <c r="A41" s="274" t="s">
        <v>977</v>
      </c>
      <c r="B41" s="219"/>
      <c r="C41" s="275" t="s">
        <v>978</v>
      </c>
      <c r="D41" s="276" t="s">
        <v>203</v>
      </c>
      <c r="E41" s="281">
        <v>2</v>
      </c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</row>
    <row r="42" spans="1:16" s="229" customFormat="1" ht="13.5" customHeight="1">
      <c r="A42" s="274" t="s">
        <v>979</v>
      </c>
      <c r="B42" s="219"/>
      <c r="C42" s="275" t="s">
        <v>980</v>
      </c>
      <c r="D42" s="276" t="s">
        <v>203</v>
      </c>
      <c r="E42" s="281">
        <v>3</v>
      </c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</row>
    <row r="43" spans="1:16" s="229" customFormat="1" ht="13.5" customHeight="1">
      <c r="A43" s="274" t="s">
        <v>981</v>
      </c>
      <c r="B43" s="219"/>
      <c r="C43" s="275" t="s">
        <v>982</v>
      </c>
      <c r="D43" s="276" t="s">
        <v>203</v>
      </c>
      <c r="E43" s="281">
        <v>4</v>
      </c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</row>
    <row r="44" spans="1:16" s="229" customFormat="1" ht="13.5" customHeight="1">
      <c r="A44" s="274" t="s">
        <v>983</v>
      </c>
      <c r="B44" s="219"/>
      <c r="C44" s="275" t="s">
        <v>984</v>
      </c>
      <c r="D44" s="276" t="s">
        <v>203</v>
      </c>
      <c r="E44" s="281">
        <v>3</v>
      </c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</row>
    <row r="45" spans="1:16" s="229" customFormat="1" ht="13.5" customHeight="1">
      <c r="A45" s="274" t="s">
        <v>985</v>
      </c>
      <c r="B45" s="219"/>
      <c r="C45" s="275" t="s">
        <v>986</v>
      </c>
      <c r="D45" s="276" t="s">
        <v>203</v>
      </c>
      <c r="E45" s="280">
        <f>ROUND(E40+1,0)</f>
        <v>22</v>
      </c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</row>
    <row r="46" spans="1:16" s="227" customFormat="1" ht="25.5" customHeight="1">
      <c r="A46" s="271" t="s">
        <v>987</v>
      </c>
      <c r="B46" s="147"/>
      <c r="C46" s="272" t="s">
        <v>988</v>
      </c>
      <c r="D46" s="282" t="s">
        <v>77</v>
      </c>
      <c r="E46" s="283">
        <v>13.8</v>
      </c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</row>
    <row r="47" spans="1:16" s="229" customFormat="1" ht="13.5" customHeight="1">
      <c r="A47" s="274" t="s">
        <v>989</v>
      </c>
      <c r="B47" s="219"/>
      <c r="C47" s="275" t="s">
        <v>990</v>
      </c>
      <c r="D47" s="276" t="s">
        <v>77</v>
      </c>
      <c r="E47" s="280">
        <f>ROUND(E46*1.1,0)</f>
        <v>15</v>
      </c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</row>
    <row r="48" spans="1:16" s="229" customFormat="1" ht="13.5" customHeight="1">
      <c r="A48" s="274" t="s">
        <v>991</v>
      </c>
      <c r="B48" s="219"/>
      <c r="C48" s="275" t="s">
        <v>992</v>
      </c>
      <c r="D48" s="276" t="s">
        <v>203</v>
      </c>
      <c r="E48" s="281">
        <v>6</v>
      </c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</row>
    <row r="49" spans="1:16" s="229" customFormat="1" ht="13.5" customHeight="1">
      <c r="A49" s="274" t="s">
        <v>993</v>
      </c>
      <c r="B49" s="219"/>
      <c r="C49" s="275" t="s">
        <v>994</v>
      </c>
      <c r="D49" s="276" t="s">
        <v>203</v>
      </c>
      <c r="E49" s="281">
        <v>2</v>
      </c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</row>
    <row r="50" spans="1:16" s="229" customFormat="1" ht="13.5" customHeight="1">
      <c r="A50" s="274" t="s">
        <v>995</v>
      </c>
      <c r="B50" s="219"/>
      <c r="C50" s="275" t="s">
        <v>996</v>
      </c>
      <c r="D50" s="276" t="s">
        <v>203</v>
      </c>
      <c r="E50" s="280">
        <f>ROUND(E47+1,0)</f>
        <v>16</v>
      </c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</row>
    <row r="51" spans="1:16" s="227" customFormat="1" ht="24.75" customHeight="1">
      <c r="A51" s="271" t="s">
        <v>997</v>
      </c>
      <c r="B51" s="147"/>
      <c r="C51" s="272" t="s">
        <v>998</v>
      </c>
      <c r="D51" s="282" t="s">
        <v>77</v>
      </c>
      <c r="E51" s="283">
        <v>15.4</v>
      </c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</row>
    <row r="52" spans="1:16" s="229" customFormat="1" ht="13.5" customHeight="1">
      <c r="A52" s="274" t="s">
        <v>999</v>
      </c>
      <c r="B52" s="219"/>
      <c r="C52" s="275" t="s">
        <v>1000</v>
      </c>
      <c r="D52" s="276" t="s">
        <v>77</v>
      </c>
      <c r="E52" s="276">
        <v>18</v>
      </c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</row>
    <row r="53" spans="1:16" s="229" customFormat="1" ht="16.5" customHeight="1">
      <c r="A53" s="274" t="s">
        <v>1001</v>
      </c>
      <c r="B53" s="219"/>
      <c r="C53" s="275" t="s">
        <v>1002</v>
      </c>
      <c r="D53" s="276" t="s">
        <v>203</v>
      </c>
      <c r="E53" s="281">
        <v>7</v>
      </c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</row>
    <row r="54" spans="1:16" s="284" customFormat="1" ht="13.5" customHeight="1">
      <c r="A54" s="274" t="s">
        <v>1003</v>
      </c>
      <c r="B54" s="219"/>
      <c r="C54" s="275" t="s">
        <v>1004</v>
      </c>
      <c r="D54" s="276" t="s">
        <v>203</v>
      </c>
      <c r="E54" s="281">
        <v>2</v>
      </c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</row>
    <row r="55" spans="1:16" s="284" customFormat="1" ht="13.5" customHeight="1">
      <c r="A55" s="274" t="s">
        <v>1005</v>
      </c>
      <c r="B55" s="219"/>
      <c r="C55" s="275" t="s">
        <v>1006</v>
      </c>
      <c r="D55" s="276" t="s">
        <v>203</v>
      </c>
      <c r="E55" s="281">
        <v>3</v>
      </c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</row>
    <row r="56" spans="1:16" s="229" customFormat="1" ht="13.5" customHeight="1">
      <c r="A56" s="274" t="s">
        <v>1007</v>
      </c>
      <c r="B56" s="219"/>
      <c r="C56" s="275" t="s">
        <v>1008</v>
      </c>
      <c r="D56" s="276" t="s">
        <v>203</v>
      </c>
      <c r="E56" s="281">
        <v>3</v>
      </c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</row>
    <row r="57" spans="1:16" s="229" customFormat="1" ht="13.5" customHeight="1">
      <c r="A57" s="274" t="s">
        <v>1009</v>
      </c>
      <c r="B57" s="219"/>
      <c r="C57" s="275" t="s">
        <v>1010</v>
      </c>
      <c r="D57" s="276" t="s">
        <v>203</v>
      </c>
      <c r="E57" s="280">
        <f>ROUND(E52+1,0)</f>
        <v>19</v>
      </c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</row>
    <row r="58" spans="1:16" s="227" customFormat="1" ht="26.25" customHeight="1">
      <c r="A58" s="271" t="s">
        <v>1011</v>
      </c>
      <c r="B58" s="147"/>
      <c r="C58" s="272" t="s">
        <v>1012</v>
      </c>
      <c r="D58" s="282" t="s">
        <v>77</v>
      </c>
      <c r="E58" s="283">
        <v>11.7</v>
      </c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</row>
    <row r="59" spans="1:16" s="229" customFormat="1" ht="26.25" customHeight="1">
      <c r="A59" s="274" t="s">
        <v>1013</v>
      </c>
      <c r="B59" s="219"/>
      <c r="C59" s="275" t="s">
        <v>1014</v>
      </c>
      <c r="D59" s="276" t="s">
        <v>77</v>
      </c>
      <c r="E59" s="276">
        <v>12</v>
      </c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</row>
    <row r="60" spans="1:16" s="61" customFormat="1" ht="17.25" customHeight="1">
      <c r="A60" s="271" t="s">
        <v>1015</v>
      </c>
      <c r="B60" s="87"/>
      <c r="C60" s="272" t="s">
        <v>1016</v>
      </c>
      <c r="D60" s="273" t="s">
        <v>203</v>
      </c>
      <c r="E60" s="273">
        <f>SUM(E61:E67)</f>
        <v>15</v>
      </c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</row>
    <row r="61" spans="1:16" s="229" customFormat="1" ht="13.5" customHeight="1">
      <c r="A61" s="274" t="s">
        <v>1017</v>
      </c>
      <c r="B61" s="219"/>
      <c r="C61" s="275" t="s">
        <v>1018</v>
      </c>
      <c r="D61" s="276" t="s">
        <v>203</v>
      </c>
      <c r="E61" s="279">
        <v>4</v>
      </c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</row>
    <row r="62" spans="1:16" s="229" customFormat="1" ht="13.5" customHeight="1">
      <c r="A62" s="274" t="s">
        <v>1019</v>
      </c>
      <c r="B62" s="219"/>
      <c r="C62" s="275" t="s">
        <v>1020</v>
      </c>
      <c r="D62" s="276" t="s">
        <v>203</v>
      </c>
      <c r="E62" s="279">
        <v>4</v>
      </c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</row>
    <row r="63" spans="1:16" s="229" customFormat="1" ht="13.5" customHeight="1">
      <c r="A63" s="274" t="s">
        <v>1021</v>
      </c>
      <c r="B63" s="219"/>
      <c r="C63" s="275" t="s">
        <v>1022</v>
      </c>
      <c r="D63" s="276" t="s">
        <v>203</v>
      </c>
      <c r="E63" s="276">
        <v>1</v>
      </c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</row>
    <row r="64" spans="1:16" s="229" customFormat="1" ht="13.5" customHeight="1">
      <c r="A64" s="274" t="s">
        <v>1023</v>
      </c>
      <c r="B64" s="219"/>
      <c r="C64" s="275" t="s">
        <v>1024</v>
      </c>
      <c r="D64" s="276" t="s">
        <v>203</v>
      </c>
      <c r="E64" s="276">
        <v>1</v>
      </c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</row>
    <row r="65" spans="1:16" s="229" customFormat="1" ht="13.5" customHeight="1">
      <c r="A65" s="274" t="s">
        <v>1025</v>
      </c>
      <c r="B65" s="219"/>
      <c r="C65" s="275" t="s">
        <v>1026</v>
      </c>
      <c r="D65" s="276" t="s">
        <v>203</v>
      </c>
      <c r="E65" s="276">
        <v>2</v>
      </c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</row>
    <row r="66" spans="1:16" s="229" customFormat="1" ht="13.5" customHeight="1">
      <c r="A66" s="274" t="s">
        <v>1027</v>
      </c>
      <c r="B66" s="219"/>
      <c r="C66" s="275" t="s">
        <v>1028</v>
      </c>
      <c r="D66" s="276" t="s">
        <v>203</v>
      </c>
      <c r="E66" s="276">
        <v>1</v>
      </c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</row>
    <row r="67" spans="1:16" s="229" customFormat="1" ht="13.5" customHeight="1">
      <c r="A67" s="274" t="s">
        <v>1029</v>
      </c>
      <c r="B67" s="219"/>
      <c r="C67" s="275" t="s">
        <v>1030</v>
      </c>
      <c r="D67" s="276" t="s">
        <v>203</v>
      </c>
      <c r="E67" s="276">
        <v>2</v>
      </c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</row>
    <row r="68" spans="1:16" s="61" customFormat="1" ht="17.25" customHeight="1">
      <c r="A68" s="271" t="s">
        <v>1031</v>
      </c>
      <c r="B68" s="87"/>
      <c r="C68" s="285" t="s">
        <v>1032</v>
      </c>
      <c r="D68" s="273" t="s">
        <v>1033</v>
      </c>
      <c r="E68" s="286">
        <v>18.65</v>
      </c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</row>
    <row r="69" spans="1:16" s="229" customFormat="1" ht="42" customHeight="1">
      <c r="A69" s="274" t="s">
        <v>1034</v>
      </c>
      <c r="B69" s="219"/>
      <c r="C69" s="275" t="s">
        <v>1035</v>
      </c>
      <c r="D69" s="276" t="s">
        <v>151</v>
      </c>
      <c r="E69" s="287">
        <v>20</v>
      </c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</row>
    <row r="70" spans="1:16" s="227" customFormat="1" ht="27.75" customHeight="1">
      <c r="A70" s="271" t="s">
        <v>1036</v>
      </c>
      <c r="B70" s="147"/>
      <c r="C70" s="288" t="s">
        <v>1037</v>
      </c>
      <c r="D70" s="282" t="s">
        <v>306</v>
      </c>
      <c r="E70" s="37">
        <v>1</v>
      </c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</row>
    <row r="71" spans="1:16" s="11" customFormat="1" ht="16.5" customHeight="1">
      <c r="A71" s="271"/>
      <c r="B71" s="39"/>
      <c r="C71" s="159" t="s">
        <v>1038</v>
      </c>
      <c r="D71" s="159"/>
      <c r="E71" s="159"/>
      <c r="F71" s="289"/>
      <c r="G71" s="289"/>
      <c r="H71" s="289"/>
      <c r="I71" s="57"/>
      <c r="J71" s="57"/>
      <c r="K71" s="57"/>
      <c r="L71" s="57"/>
      <c r="M71" s="57"/>
      <c r="N71" s="57"/>
      <c r="O71" s="57"/>
      <c r="P71" s="57"/>
    </row>
    <row r="72" spans="1:16" s="11" customFormat="1" ht="20.25" customHeight="1">
      <c r="A72" s="271" t="s">
        <v>1039</v>
      </c>
      <c r="B72" s="39"/>
      <c r="C72" s="288" t="s">
        <v>1040</v>
      </c>
      <c r="D72" s="273" t="s">
        <v>203</v>
      </c>
      <c r="E72" s="273">
        <v>1</v>
      </c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</row>
    <row r="73" spans="1:16" s="144" customFormat="1" ht="55.5" customHeight="1">
      <c r="A73" s="274" t="s">
        <v>1041</v>
      </c>
      <c r="B73" s="169"/>
      <c r="C73" s="290" t="s">
        <v>1042</v>
      </c>
      <c r="D73" s="276" t="s">
        <v>203</v>
      </c>
      <c r="E73" s="281">
        <v>1</v>
      </c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</row>
    <row r="74" spans="1:16" s="61" customFormat="1" ht="26.25" customHeight="1">
      <c r="A74" s="271" t="s">
        <v>1043</v>
      </c>
      <c r="B74" s="87"/>
      <c r="C74" s="272" t="s">
        <v>952</v>
      </c>
      <c r="D74" s="273" t="s">
        <v>77</v>
      </c>
      <c r="E74" s="273">
        <v>4</v>
      </c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</row>
    <row r="75" spans="1:16" s="144" customFormat="1" ht="13.5" customHeight="1">
      <c r="A75" s="274" t="s">
        <v>1044</v>
      </c>
      <c r="B75" s="169"/>
      <c r="C75" s="275" t="s">
        <v>954</v>
      </c>
      <c r="D75" s="276" t="s">
        <v>77</v>
      </c>
      <c r="E75" s="276">
        <v>6</v>
      </c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</row>
    <row r="76" spans="1:16" s="144" customFormat="1" ht="13.5" customHeight="1">
      <c r="A76" s="274" t="s">
        <v>1045</v>
      </c>
      <c r="B76" s="169"/>
      <c r="C76" s="275" t="s">
        <v>956</v>
      </c>
      <c r="D76" s="276" t="s">
        <v>203</v>
      </c>
      <c r="E76" s="281">
        <v>1</v>
      </c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</row>
    <row r="77" spans="1:16" s="144" customFormat="1" ht="13.5" customHeight="1">
      <c r="A77" s="274" t="s">
        <v>1046</v>
      </c>
      <c r="B77" s="169"/>
      <c r="C77" s="275" t="s">
        <v>962</v>
      </c>
      <c r="D77" s="276" t="s">
        <v>203</v>
      </c>
      <c r="E77" s="280">
        <v>5</v>
      </c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</row>
    <row r="78" spans="1:16" s="31" customFormat="1" ht="25.5" customHeight="1">
      <c r="A78" s="271" t="s">
        <v>1047</v>
      </c>
      <c r="B78" s="37"/>
      <c r="C78" s="272" t="s">
        <v>988</v>
      </c>
      <c r="D78" s="282" t="s">
        <v>77</v>
      </c>
      <c r="E78" s="283">
        <v>1.5</v>
      </c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</row>
    <row r="79" spans="1:16" s="144" customFormat="1" ht="13.5" customHeight="1">
      <c r="A79" s="274" t="s">
        <v>1048</v>
      </c>
      <c r="B79" s="169"/>
      <c r="C79" s="275" t="s">
        <v>990</v>
      </c>
      <c r="D79" s="276" t="s">
        <v>77</v>
      </c>
      <c r="E79" s="276">
        <v>3</v>
      </c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</row>
    <row r="80" spans="1:16" s="144" customFormat="1" ht="13.5" customHeight="1">
      <c r="A80" s="274" t="s">
        <v>1049</v>
      </c>
      <c r="B80" s="169"/>
      <c r="C80" s="275" t="s">
        <v>1050</v>
      </c>
      <c r="D80" s="276" t="s">
        <v>203</v>
      </c>
      <c r="E80" s="281">
        <v>1</v>
      </c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</row>
    <row r="81" spans="1:16" s="144" customFormat="1" ht="13.5" customHeight="1">
      <c r="A81" s="274" t="s">
        <v>1051</v>
      </c>
      <c r="B81" s="169"/>
      <c r="C81" s="275" t="s">
        <v>1052</v>
      </c>
      <c r="D81" s="276" t="s">
        <v>203</v>
      </c>
      <c r="E81" s="281">
        <v>1</v>
      </c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</row>
    <row r="82" spans="1:16" s="144" customFormat="1" ht="13.5" customHeight="1">
      <c r="A82" s="274" t="s">
        <v>1053</v>
      </c>
      <c r="B82" s="169"/>
      <c r="C82" s="275" t="s">
        <v>996</v>
      </c>
      <c r="D82" s="276" t="s">
        <v>203</v>
      </c>
      <c r="E82" s="291">
        <f>E79+1</f>
        <v>4</v>
      </c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</row>
    <row r="83" spans="1:16" s="61" customFormat="1" ht="17.25" customHeight="1">
      <c r="A83" s="271" t="s">
        <v>1054</v>
      </c>
      <c r="B83" s="87"/>
      <c r="C83" s="272" t="s">
        <v>1016</v>
      </c>
      <c r="D83" s="273" t="s">
        <v>203</v>
      </c>
      <c r="E83" s="273">
        <v>2</v>
      </c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</row>
    <row r="84" spans="1:16" s="144" customFormat="1" ht="13.5" customHeight="1">
      <c r="A84" s="274" t="s">
        <v>1055</v>
      </c>
      <c r="B84" s="169"/>
      <c r="C84" s="290" t="s">
        <v>1056</v>
      </c>
      <c r="D84" s="276" t="s">
        <v>203</v>
      </c>
      <c r="E84" s="281">
        <v>1</v>
      </c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</row>
    <row r="85" spans="1:16" s="144" customFormat="1" ht="18.75" customHeight="1">
      <c r="A85" s="274" t="s">
        <v>1057</v>
      </c>
      <c r="B85" s="169"/>
      <c r="C85" s="275" t="s">
        <v>1058</v>
      </c>
      <c r="D85" s="276" t="s">
        <v>203</v>
      </c>
      <c r="E85" s="276">
        <v>1</v>
      </c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</row>
    <row r="86" spans="1:16" s="11" customFormat="1" ht="13.5" customHeight="1">
      <c r="A86" s="271" t="s">
        <v>1059</v>
      </c>
      <c r="B86" s="39"/>
      <c r="C86" s="292" t="s">
        <v>1060</v>
      </c>
      <c r="D86" s="273" t="s">
        <v>203</v>
      </c>
      <c r="E86" s="273">
        <v>2</v>
      </c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</row>
    <row r="87" spans="1:16" s="144" customFormat="1" ht="30" customHeight="1">
      <c r="A87" s="274" t="s">
        <v>1061</v>
      </c>
      <c r="B87" s="169"/>
      <c r="C87" s="275" t="s">
        <v>1062</v>
      </c>
      <c r="D87" s="276" t="s">
        <v>203</v>
      </c>
      <c r="E87" s="281">
        <v>1</v>
      </c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</row>
    <row r="88" spans="1:16" s="61" customFormat="1" ht="17.25" customHeight="1">
      <c r="A88" s="271" t="s">
        <v>1063</v>
      </c>
      <c r="B88" s="87"/>
      <c r="C88" s="285" t="s">
        <v>1032</v>
      </c>
      <c r="D88" s="273" t="s">
        <v>1033</v>
      </c>
      <c r="E88" s="286">
        <v>2</v>
      </c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</row>
    <row r="89" spans="1:16" s="144" customFormat="1" ht="44.25" customHeight="1">
      <c r="A89" s="274" t="s">
        <v>1064</v>
      </c>
      <c r="B89" s="169"/>
      <c r="C89" s="275" t="s">
        <v>1035</v>
      </c>
      <c r="D89" s="276" t="s">
        <v>151</v>
      </c>
      <c r="E89" s="287">
        <v>1.56</v>
      </c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</row>
    <row r="90" spans="1:16" s="31" customFormat="1" ht="21.75" customHeight="1">
      <c r="A90" s="271" t="s">
        <v>1065</v>
      </c>
      <c r="B90" s="37"/>
      <c r="C90" s="288" t="s">
        <v>305</v>
      </c>
      <c r="D90" s="282" t="s">
        <v>306</v>
      </c>
      <c r="E90" s="37">
        <v>1</v>
      </c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</row>
    <row r="91" spans="1:16" s="218" customFormat="1" ht="23.25" customHeight="1">
      <c r="A91" s="271"/>
      <c r="B91" s="293"/>
      <c r="C91" s="159" t="s">
        <v>1066</v>
      </c>
      <c r="D91" s="294"/>
      <c r="E91" s="294"/>
      <c r="F91" s="295"/>
      <c r="G91" s="295"/>
      <c r="H91" s="295"/>
      <c r="I91" s="296"/>
      <c r="J91" s="296"/>
      <c r="K91" s="296"/>
      <c r="L91" s="296"/>
      <c r="M91" s="296"/>
      <c r="N91" s="296"/>
      <c r="O91" s="296"/>
      <c r="P91" s="296"/>
    </row>
    <row r="92" spans="1:16" s="61" customFormat="1" ht="19.5" customHeight="1">
      <c r="A92" s="271" t="s">
        <v>1067</v>
      </c>
      <c r="B92" s="87"/>
      <c r="C92" s="272" t="s">
        <v>1068</v>
      </c>
      <c r="D92" s="273" t="s">
        <v>306</v>
      </c>
      <c r="E92" s="273">
        <v>1</v>
      </c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</row>
    <row r="93" spans="1:16" s="144" customFormat="1" ht="41.25" customHeight="1">
      <c r="A93" s="271" t="s">
        <v>1069</v>
      </c>
      <c r="B93" s="169"/>
      <c r="C93" s="290" t="s">
        <v>1070</v>
      </c>
      <c r="D93" s="276" t="s">
        <v>203</v>
      </c>
      <c r="E93" s="281">
        <v>1</v>
      </c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</row>
    <row r="94" spans="1:16" s="61" customFormat="1" ht="26.25" customHeight="1">
      <c r="A94" s="271" t="s">
        <v>1071</v>
      </c>
      <c r="B94" s="87"/>
      <c r="C94" s="272" t="s">
        <v>944</v>
      </c>
      <c r="D94" s="273" t="s">
        <v>77</v>
      </c>
      <c r="E94" s="273">
        <v>2</v>
      </c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</row>
    <row r="95" spans="1:16" s="144" customFormat="1" ht="13.5" customHeight="1">
      <c r="A95" s="274" t="s">
        <v>1072</v>
      </c>
      <c r="B95" s="169"/>
      <c r="C95" s="275" t="s">
        <v>1073</v>
      </c>
      <c r="D95" s="276" t="s">
        <v>77</v>
      </c>
      <c r="E95" s="276">
        <v>3</v>
      </c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</row>
    <row r="96" spans="1:16" s="144" customFormat="1" ht="13.5" customHeight="1">
      <c r="A96" s="274" t="s">
        <v>1074</v>
      </c>
      <c r="B96" s="169"/>
      <c r="C96" s="275" t="s">
        <v>948</v>
      </c>
      <c r="D96" s="276" t="s">
        <v>203</v>
      </c>
      <c r="E96" s="281">
        <v>2</v>
      </c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</row>
    <row r="97" spans="1:16" s="144" customFormat="1" ht="13.5" customHeight="1">
      <c r="A97" s="274" t="s">
        <v>1075</v>
      </c>
      <c r="B97" s="169"/>
      <c r="C97" s="275" t="s">
        <v>1076</v>
      </c>
      <c r="D97" s="276" t="s">
        <v>203</v>
      </c>
      <c r="E97" s="281">
        <v>1</v>
      </c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</row>
    <row r="98" spans="1:16" s="61" customFormat="1" ht="15.75" customHeight="1">
      <c r="A98" s="271" t="s">
        <v>1077</v>
      </c>
      <c r="B98" s="87"/>
      <c r="C98" s="272" t="s">
        <v>1016</v>
      </c>
      <c r="D98" s="273" t="s">
        <v>203</v>
      </c>
      <c r="E98" s="273">
        <f>SUM(E99:E101)</f>
        <v>4</v>
      </c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</row>
    <row r="99" spans="1:16" s="144" customFormat="1" ht="18" customHeight="1">
      <c r="A99" s="274" t="s">
        <v>1078</v>
      </c>
      <c r="B99" s="169"/>
      <c r="C99" s="290" t="s">
        <v>1079</v>
      </c>
      <c r="D99" s="276" t="s">
        <v>203</v>
      </c>
      <c r="E99" s="281">
        <v>1</v>
      </c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</row>
    <row r="100" spans="1:16" s="144" customFormat="1" ht="13.5" customHeight="1">
      <c r="A100" s="274" t="s">
        <v>1080</v>
      </c>
      <c r="B100" s="169"/>
      <c r="C100" s="275" t="s">
        <v>1022</v>
      </c>
      <c r="D100" s="276" t="s">
        <v>203</v>
      </c>
      <c r="E100" s="276">
        <v>2</v>
      </c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</row>
    <row r="101" spans="1:16" s="144" customFormat="1" ht="13.5" customHeight="1">
      <c r="A101" s="274" t="s">
        <v>1081</v>
      </c>
      <c r="B101" s="169"/>
      <c r="C101" s="275" t="s">
        <v>1082</v>
      </c>
      <c r="D101" s="276" t="s">
        <v>203</v>
      </c>
      <c r="E101" s="276">
        <v>1</v>
      </c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</row>
    <row r="102" spans="1:16" s="61" customFormat="1" ht="17.25" customHeight="1">
      <c r="A102" s="271" t="s">
        <v>1083</v>
      </c>
      <c r="B102" s="87"/>
      <c r="C102" s="297" t="s">
        <v>1084</v>
      </c>
      <c r="D102" s="273" t="s">
        <v>105</v>
      </c>
      <c r="E102" s="273">
        <v>2</v>
      </c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</row>
    <row r="103" spans="1:16" s="144" customFormat="1" ht="16.5" customHeight="1">
      <c r="A103" s="274" t="s">
        <v>1085</v>
      </c>
      <c r="B103" s="169"/>
      <c r="C103" s="275" t="s">
        <v>1086</v>
      </c>
      <c r="D103" s="276" t="s">
        <v>203</v>
      </c>
      <c r="E103" s="276">
        <v>2</v>
      </c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</row>
    <row r="104" spans="1:16" s="61" customFormat="1" ht="17.25" customHeight="1">
      <c r="A104" s="271" t="s">
        <v>1087</v>
      </c>
      <c r="B104" s="87"/>
      <c r="C104" s="272" t="s">
        <v>928</v>
      </c>
      <c r="D104" s="273" t="s">
        <v>203</v>
      </c>
      <c r="E104" s="273">
        <v>2</v>
      </c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</row>
    <row r="105" spans="1:16" s="144" customFormat="1" ht="18" customHeight="1">
      <c r="A105" s="274" t="s">
        <v>1088</v>
      </c>
      <c r="B105" s="169"/>
      <c r="C105" s="275" t="s">
        <v>934</v>
      </c>
      <c r="D105" s="276" t="s">
        <v>203</v>
      </c>
      <c r="E105" s="276">
        <v>2</v>
      </c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</row>
    <row r="106" spans="1:16" s="31" customFormat="1" ht="16.5" customHeight="1">
      <c r="A106" s="271" t="s">
        <v>1089</v>
      </c>
      <c r="B106" s="37"/>
      <c r="C106" s="288" t="s">
        <v>305</v>
      </c>
      <c r="D106" s="282" t="s">
        <v>306</v>
      </c>
      <c r="E106" s="37">
        <v>1</v>
      </c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</row>
    <row r="107" spans="1:16" s="11" customFormat="1" ht="19.5" customHeight="1">
      <c r="A107" s="271"/>
      <c r="B107" s="39"/>
      <c r="C107" s="159" t="s">
        <v>1090</v>
      </c>
      <c r="D107" s="159"/>
      <c r="E107" s="159"/>
      <c r="F107" s="289"/>
      <c r="G107" s="289"/>
      <c r="H107" s="289"/>
      <c r="I107" s="57"/>
      <c r="J107" s="57"/>
      <c r="K107" s="57"/>
      <c r="L107" s="57"/>
      <c r="M107" s="57"/>
      <c r="N107" s="57"/>
      <c r="O107" s="57"/>
      <c r="P107" s="57"/>
    </row>
    <row r="108" spans="1:16" s="31" customFormat="1" ht="26.25" customHeight="1">
      <c r="A108" s="271" t="s">
        <v>1091</v>
      </c>
      <c r="B108" s="37"/>
      <c r="C108" s="288" t="s">
        <v>1092</v>
      </c>
      <c r="D108" s="37" t="s">
        <v>306</v>
      </c>
      <c r="E108" s="37">
        <v>4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</row>
    <row r="109" spans="1:16" s="144" customFormat="1" ht="18" customHeight="1">
      <c r="A109" s="274" t="s">
        <v>1093</v>
      </c>
      <c r="B109" s="169"/>
      <c r="C109" s="298" t="s">
        <v>1094</v>
      </c>
      <c r="D109" s="281" t="s">
        <v>306</v>
      </c>
      <c r="E109" s="281">
        <v>4</v>
      </c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</row>
    <row r="110" spans="1:16" s="229" customFormat="1" ht="13.5" customHeight="1">
      <c r="A110" s="274" t="s">
        <v>1095</v>
      </c>
      <c r="B110" s="236"/>
      <c r="C110" s="298" t="s">
        <v>162</v>
      </c>
      <c r="D110" s="169" t="s">
        <v>306</v>
      </c>
      <c r="E110" s="299">
        <v>4</v>
      </c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</row>
    <row r="111" spans="1:16" s="218" customFormat="1" ht="28.5" customHeight="1">
      <c r="A111" s="271"/>
      <c r="B111" s="293"/>
      <c r="C111" s="159" t="s">
        <v>1096</v>
      </c>
      <c r="D111" s="300"/>
      <c r="E111" s="300"/>
      <c r="F111" s="300"/>
      <c r="G111" s="300"/>
      <c r="H111" s="300"/>
      <c r="I111" s="293"/>
      <c r="J111" s="293"/>
      <c r="K111" s="293"/>
      <c r="L111" s="293"/>
      <c r="M111" s="293"/>
      <c r="N111" s="293"/>
      <c r="O111" s="293"/>
      <c r="P111" s="293"/>
    </row>
    <row r="112" spans="1:16" s="11" customFormat="1" ht="18" customHeight="1">
      <c r="A112" s="271" t="s">
        <v>1097</v>
      </c>
      <c r="B112" s="39"/>
      <c r="C112" s="292" t="s">
        <v>1098</v>
      </c>
      <c r="D112" s="282" t="s">
        <v>306</v>
      </c>
      <c r="E112" s="282">
        <v>1</v>
      </c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</row>
    <row r="113" spans="1:16" s="144" customFormat="1" ht="13.5" customHeight="1">
      <c r="A113" s="274" t="s">
        <v>1099</v>
      </c>
      <c r="B113" s="169"/>
      <c r="C113" s="290" t="s">
        <v>1100</v>
      </c>
      <c r="D113" s="276" t="s">
        <v>203</v>
      </c>
      <c r="E113" s="276">
        <v>1</v>
      </c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</row>
    <row r="114" spans="1:16" s="144" customFormat="1" ht="13.5" customHeight="1">
      <c r="A114" s="274" t="s">
        <v>1101</v>
      </c>
      <c r="B114" s="169"/>
      <c r="C114" s="290" t="s">
        <v>1102</v>
      </c>
      <c r="D114" s="276" t="s">
        <v>203</v>
      </c>
      <c r="E114" s="276">
        <v>1</v>
      </c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</row>
    <row r="115" spans="1:16" s="144" customFormat="1" ht="30" customHeight="1">
      <c r="A115" s="274" t="s">
        <v>1103</v>
      </c>
      <c r="B115" s="169"/>
      <c r="C115" s="290" t="s">
        <v>1104</v>
      </c>
      <c r="D115" s="276" t="s">
        <v>203</v>
      </c>
      <c r="E115" s="276">
        <v>1</v>
      </c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</row>
    <row r="116" spans="1:16" s="144" customFormat="1" ht="13.5" customHeight="1">
      <c r="A116" s="274" t="s">
        <v>1105</v>
      </c>
      <c r="B116" s="169"/>
      <c r="C116" s="290" t="s">
        <v>1106</v>
      </c>
      <c r="D116" s="276" t="s">
        <v>203</v>
      </c>
      <c r="E116" s="276">
        <v>2</v>
      </c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</row>
    <row r="117" spans="1:16" s="144" customFormat="1" ht="13.5" customHeight="1">
      <c r="A117" s="274" t="s">
        <v>1107</v>
      </c>
      <c r="B117" s="169"/>
      <c r="C117" s="290" t="s">
        <v>1108</v>
      </c>
      <c r="D117" s="276" t="s">
        <v>203</v>
      </c>
      <c r="E117" s="276">
        <v>1</v>
      </c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</row>
    <row r="118" spans="1:16" s="144" customFormat="1" ht="13.5" customHeight="1">
      <c r="A118" s="274" t="s">
        <v>1109</v>
      </c>
      <c r="B118" s="169"/>
      <c r="C118" s="290" t="s">
        <v>1110</v>
      </c>
      <c r="D118" s="276" t="s">
        <v>203</v>
      </c>
      <c r="E118" s="276">
        <v>2</v>
      </c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</row>
    <row r="119" spans="1:16" s="144" customFormat="1" ht="13.5" customHeight="1">
      <c r="A119" s="274" t="s">
        <v>1111</v>
      </c>
      <c r="B119" s="169"/>
      <c r="C119" s="290" t="s">
        <v>1112</v>
      </c>
      <c r="D119" s="276" t="s">
        <v>203</v>
      </c>
      <c r="E119" s="276">
        <v>2</v>
      </c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</row>
    <row r="120" spans="1:16" s="144" customFormat="1" ht="13.5" customHeight="1">
      <c r="A120" s="274" t="s">
        <v>1113</v>
      </c>
      <c r="B120" s="169"/>
      <c r="C120" s="290" t="s">
        <v>1114</v>
      </c>
      <c r="D120" s="276" t="s">
        <v>203</v>
      </c>
      <c r="E120" s="276">
        <v>2</v>
      </c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</row>
    <row r="121" spans="1:16" s="31" customFormat="1" ht="17.25" customHeight="1">
      <c r="A121" s="271" t="s">
        <v>1115</v>
      </c>
      <c r="B121" s="37"/>
      <c r="C121" s="272" t="s">
        <v>1116</v>
      </c>
      <c r="D121" s="282" t="s">
        <v>77</v>
      </c>
      <c r="E121" s="282">
        <v>20</v>
      </c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</row>
    <row r="122" spans="1:16" s="144" customFormat="1" ht="13.5" customHeight="1">
      <c r="A122" s="274" t="s">
        <v>1117</v>
      </c>
      <c r="B122" s="169"/>
      <c r="C122" s="275" t="s">
        <v>1118</v>
      </c>
      <c r="D122" s="276" t="s">
        <v>77</v>
      </c>
      <c r="E122" s="281">
        <f>SUM(E121*1.1)</f>
        <v>22</v>
      </c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</row>
    <row r="123" spans="1:16" s="31" customFormat="1" ht="18" customHeight="1">
      <c r="A123" s="271" t="s">
        <v>1119</v>
      </c>
      <c r="B123" s="37"/>
      <c r="C123" s="288" t="s">
        <v>1032</v>
      </c>
      <c r="D123" s="282" t="s">
        <v>77</v>
      </c>
      <c r="E123" s="273">
        <v>20</v>
      </c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</row>
    <row r="124" spans="1:16" s="144" customFormat="1" ht="39" customHeight="1">
      <c r="A124" s="274" t="s">
        <v>1120</v>
      </c>
      <c r="B124" s="169"/>
      <c r="C124" s="275" t="s">
        <v>1121</v>
      </c>
      <c r="D124" s="276" t="s">
        <v>77</v>
      </c>
      <c r="E124" s="281">
        <v>20</v>
      </c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</row>
    <row r="125" spans="1:16" s="31" customFormat="1" ht="29.25" customHeight="1">
      <c r="A125" s="271" t="s">
        <v>1122</v>
      </c>
      <c r="B125" s="37"/>
      <c r="C125" s="288" t="s">
        <v>1123</v>
      </c>
      <c r="D125" s="282" t="s">
        <v>306</v>
      </c>
      <c r="E125" s="37">
        <v>1</v>
      </c>
      <c r="F125" s="80"/>
      <c r="G125" s="80"/>
      <c r="H125" s="80"/>
      <c r="I125" s="301"/>
      <c r="J125" s="80"/>
      <c r="K125" s="80"/>
      <c r="L125" s="80"/>
      <c r="M125" s="80"/>
      <c r="N125" s="80"/>
      <c r="O125" s="80"/>
      <c r="P125" s="80"/>
    </row>
    <row r="126" spans="1:16" s="11" customFormat="1" ht="16.5" customHeight="1">
      <c r="A126" s="271"/>
      <c r="B126" s="39"/>
      <c r="C126" s="159" t="s">
        <v>1124</v>
      </c>
      <c r="D126" s="159"/>
      <c r="E126" s="159"/>
      <c r="F126" s="159"/>
      <c r="G126" s="159"/>
      <c r="H126" s="159"/>
      <c r="I126" s="39"/>
      <c r="J126" s="39"/>
      <c r="K126" s="39"/>
      <c r="L126" s="39"/>
      <c r="M126" s="39"/>
      <c r="N126" s="39"/>
      <c r="O126" s="39"/>
      <c r="P126" s="39"/>
    </row>
    <row r="127" spans="1:16" s="31" customFormat="1" ht="15.75" customHeight="1">
      <c r="A127" s="271" t="s">
        <v>1125</v>
      </c>
      <c r="B127" s="37"/>
      <c r="C127" s="288" t="s">
        <v>1126</v>
      </c>
      <c r="D127" s="282" t="s">
        <v>203</v>
      </c>
      <c r="E127" s="37">
        <v>28</v>
      </c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</row>
    <row r="128" spans="1:16" s="11" customFormat="1" ht="13.5" customHeight="1">
      <c r="A128" s="271" t="s">
        <v>1127</v>
      </c>
      <c r="B128" s="39"/>
      <c r="C128" s="288" t="s">
        <v>1128</v>
      </c>
      <c r="D128" s="282" t="s">
        <v>203</v>
      </c>
      <c r="E128" s="37">
        <v>3</v>
      </c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</row>
    <row r="129" spans="1:16" s="11" customFormat="1" ht="27.75" customHeight="1">
      <c r="A129" s="271" t="s">
        <v>1129</v>
      </c>
      <c r="B129" s="39"/>
      <c r="C129" s="288" t="s">
        <v>1130</v>
      </c>
      <c r="D129" s="282" t="s">
        <v>203</v>
      </c>
      <c r="E129" s="37">
        <v>10</v>
      </c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</row>
    <row r="130" spans="1:16" s="11" customFormat="1" ht="15.75" customHeight="1">
      <c r="A130" s="271" t="s">
        <v>1131</v>
      </c>
      <c r="B130" s="39"/>
      <c r="C130" s="288" t="s">
        <v>1132</v>
      </c>
      <c r="D130" s="282" t="s">
        <v>203</v>
      </c>
      <c r="E130" s="37">
        <v>8</v>
      </c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</row>
    <row r="131" spans="1:16" s="11" customFormat="1" ht="17.25" customHeight="1">
      <c r="A131" s="271" t="s">
        <v>1133</v>
      </c>
      <c r="B131" s="39"/>
      <c r="C131" s="288" t="s">
        <v>1134</v>
      </c>
      <c r="D131" s="282" t="s">
        <v>77</v>
      </c>
      <c r="E131" s="37">
        <v>30</v>
      </c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</row>
    <row r="132" spans="1:16" s="11" customFormat="1" ht="41.25" customHeight="1">
      <c r="A132" s="271" t="s">
        <v>1135</v>
      </c>
      <c r="B132" s="39"/>
      <c r="C132" s="288" t="s">
        <v>1136</v>
      </c>
      <c r="D132" s="282" t="s">
        <v>77</v>
      </c>
      <c r="E132" s="37">
        <v>30</v>
      </c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</row>
    <row r="133" spans="1:16" s="11" customFormat="1" ht="30.75" customHeight="1">
      <c r="A133" s="271" t="s">
        <v>1137</v>
      </c>
      <c r="B133" s="39"/>
      <c r="C133" s="288" t="s">
        <v>1138</v>
      </c>
      <c r="D133" s="282" t="s">
        <v>77</v>
      </c>
      <c r="E133" s="37">
        <v>7.2</v>
      </c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</row>
    <row r="134" spans="1:16" s="11" customFormat="1" ht="30.75" customHeight="1">
      <c r="A134" s="94" t="s">
        <v>1139</v>
      </c>
      <c r="B134" s="35"/>
      <c r="C134" s="302" t="s">
        <v>1140</v>
      </c>
      <c r="D134" s="303" t="s">
        <v>306</v>
      </c>
      <c r="E134" s="36">
        <v>1</v>
      </c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</row>
  </sheetData>
  <mergeCells count="10">
    <mergeCell ref="N8:O8"/>
    <mergeCell ref="I9:P9"/>
    <mergeCell ref="A10:H10"/>
    <mergeCell ref="A11:A12"/>
    <mergeCell ref="B11:B12"/>
    <mergeCell ref="C11:C12"/>
    <mergeCell ref="D11:D12"/>
    <mergeCell ref="E11:E12"/>
    <mergeCell ref="F11:K11"/>
    <mergeCell ref="L11:P11"/>
  </mergeCells>
  <printOptions horizontalCentered="1"/>
  <pageMargins left="0.39375" right="0.39375" top="0.9840277777777777" bottom="0.5902777777777778" header="0.5118055555555555" footer="0.19652777777777777"/>
  <pageSetup horizontalDpi="300" verticalDpi="300" orientation="landscape" paperSize="9" scale="84"/>
  <headerFooter alignWithMargins="0">
    <oddFooter>&amp;CPage &amp;P&amp;R&amp;A</oddFooter>
  </headerFooter>
  <rowBreaks count="1" manualBreakCount="1">
    <brk id="11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P39"/>
  <sheetViews>
    <sheetView zoomScaleSheetLayoutView="140" workbookViewId="0" topLeftCell="A1">
      <selection activeCell="A4" sqref="A4"/>
    </sheetView>
  </sheetViews>
  <sheetFormatPr defaultColWidth="9.140625" defaultRowHeight="12.75"/>
  <cols>
    <col min="1" max="1" width="7.140625" style="9" customWidth="1"/>
    <col min="2" max="2" width="5.00390625" style="9" customWidth="1"/>
    <col min="3" max="3" width="33.57421875" style="9" customWidth="1"/>
    <col min="4" max="4" width="7.140625" style="135" customWidth="1"/>
    <col min="5" max="10" width="8.57421875" style="9" customWidth="1"/>
    <col min="11" max="16" width="10.00390625" style="9" customWidth="1"/>
    <col min="17" max="16384" width="9.140625" style="9" customWidth="1"/>
  </cols>
  <sheetData>
    <row r="1" spans="1:16" ht="15">
      <c r="A1" s="58"/>
      <c r="B1" s="58"/>
      <c r="C1" s="58"/>
      <c r="D1" s="58"/>
      <c r="E1" s="58"/>
      <c r="F1" s="58"/>
      <c r="G1" s="58" t="s">
        <v>1141</v>
      </c>
      <c r="H1" s="58"/>
      <c r="I1" s="58"/>
      <c r="J1" s="58"/>
      <c r="K1" s="58"/>
      <c r="L1" s="58"/>
      <c r="M1" s="58"/>
      <c r="N1" s="58"/>
      <c r="O1" s="58"/>
      <c r="P1" s="58"/>
    </row>
    <row r="2" spans="1:16" ht="15.75">
      <c r="A2" s="59"/>
      <c r="B2" s="59"/>
      <c r="C2" s="59"/>
      <c r="D2" s="59"/>
      <c r="E2" s="59"/>
      <c r="F2" s="59"/>
      <c r="G2" s="59" t="s">
        <v>1142</v>
      </c>
      <c r="H2" s="59"/>
      <c r="I2" s="59"/>
      <c r="J2" s="59"/>
      <c r="K2" s="59"/>
      <c r="L2" s="59"/>
      <c r="M2" s="59"/>
      <c r="N2" s="59"/>
      <c r="O2" s="59"/>
      <c r="P2" s="59"/>
    </row>
    <row r="3" spans="1:16" ht="15.7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16" ht="12.75" customHeight="1">
      <c r="A4" s="7" t="s">
        <v>23</v>
      </c>
      <c r="B4" s="8"/>
      <c r="C4"/>
      <c r="D4" s="7" t="s">
        <v>24</v>
      </c>
      <c r="E4" s="60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2.75" customHeight="1">
      <c r="A5" s="7" t="s">
        <v>25</v>
      </c>
      <c r="B5" s="10"/>
      <c r="C5"/>
      <c r="D5" s="32" t="s">
        <v>26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5" s="9" customFormat="1" ht="12.75" customHeight="1">
      <c r="A6" s="7" t="s">
        <v>4</v>
      </c>
      <c r="B6" s="8"/>
      <c r="C6"/>
      <c r="E6" s="8"/>
    </row>
    <row r="7" spans="1:16" ht="12.75" customHeight="1">
      <c r="A7" s="10" t="s">
        <v>5</v>
      </c>
      <c r="B7" s="11"/>
      <c r="C7"/>
      <c r="D7" s="9" t="s">
        <v>6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2.75" customHeight="1">
      <c r="A8" s="7" t="s">
        <v>7</v>
      </c>
      <c r="B8" s="10"/>
      <c r="C8"/>
      <c r="D8" s="51" t="s">
        <v>8</v>
      </c>
      <c r="F8" s="10"/>
      <c r="G8" s="10"/>
      <c r="H8" s="10"/>
      <c r="I8" s="61"/>
      <c r="J8" s="61"/>
      <c r="K8" s="62"/>
      <c r="L8" s="62"/>
      <c r="M8" s="61"/>
      <c r="N8" s="63"/>
      <c r="O8" s="63"/>
      <c r="P8" s="61"/>
    </row>
    <row r="9" spans="1:16" ht="12">
      <c r="A9" s="7" t="s">
        <v>9</v>
      </c>
      <c r="B9" s="8"/>
      <c r="C9"/>
      <c r="D9" s="7" t="s">
        <v>10</v>
      </c>
      <c r="E9" s="10"/>
      <c r="I9" s="7"/>
      <c r="J9" s="7"/>
      <c r="K9" s="7"/>
      <c r="L9" s="7"/>
      <c r="M9" s="7"/>
      <c r="N9" s="7"/>
      <c r="O9" s="7"/>
      <c r="P9" s="7"/>
    </row>
    <row r="10" spans="1:8" ht="12.75" customHeight="1">
      <c r="A10" s="7"/>
      <c r="B10" s="7"/>
      <c r="C10" s="7"/>
      <c r="D10" s="7"/>
      <c r="E10" s="7"/>
      <c r="F10" s="7"/>
      <c r="G10" s="7"/>
      <c r="H10" s="7"/>
    </row>
    <row r="11" spans="1:16" ht="15.75" customHeight="1">
      <c r="A11" s="39" t="s">
        <v>56</v>
      </c>
      <c r="B11" s="65" t="s">
        <v>57</v>
      </c>
      <c r="C11" s="66" t="s">
        <v>58</v>
      </c>
      <c r="D11" s="65" t="s">
        <v>59</v>
      </c>
      <c r="E11" s="65" t="s">
        <v>60</v>
      </c>
      <c r="F11" s="66" t="s">
        <v>61</v>
      </c>
      <c r="G11" s="66"/>
      <c r="H11" s="66"/>
      <c r="I11" s="66"/>
      <c r="J11" s="66"/>
      <c r="K11" s="66"/>
      <c r="L11" s="66" t="s">
        <v>62</v>
      </c>
      <c r="M11" s="66" t="s">
        <v>62</v>
      </c>
      <c r="N11" s="66"/>
      <c r="O11" s="66"/>
      <c r="P11" s="66"/>
    </row>
    <row r="12" spans="1:16" ht="59.25" customHeight="1">
      <c r="A12" s="39"/>
      <c r="B12" s="65"/>
      <c r="C12" s="66"/>
      <c r="D12" s="65"/>
      <c r="E12" s="65"/>
      <c r="F12" s="65" t="s">
        <v>63</v>
      </c>
      <c r="G12" s="65" t="s">
        <v>64</v>
      </c>
      <c r="H12" s="65" t="s">
        <v>65</v>
      </c>
      <c r="I12" s="65" t="s">
        <v>66</v>
      </c>
      <c r="J12" s="65" t="s">
        <v>67</v>
      </c>
      <c r="K12" s="65" t="s">
        <v>68</v>
      </c>
      <c r="L12" s="65" t="s">
        <v>49</v>
      </c>
      <c r="M12" s="65" t="s">
        <v>69</v>
      </c>
      <c r="N12" s="65" t="s">
        <v>70</v>
      </c>
      <c r="O12" s="65" t="s">
        <v>67</v>
      </c>
      <c r="P12" s="65" t="s">
        <v>71</v>
      </c>
    </row>
    <row r="13" spans="1:16" s="155" customFormat="1" ht="15" customHeight="1">
      <c r="A13" s="137">
        <v>1</v>
      </c>
      <c r="B13" s="137">
        <v>2</v>
      </c>
      <c r="C13" s="137">
        <v>3</v>
      </c>
      <c r="D13" s="137">
        <v>4</v>
      </c>
      <c r="E13" s="137">
        <v>5</v>
      </c>
      <c r="F13" s="137">
        <v>6</v>
      </c>
      <c r="G13" s="137">
        <v>7</v>
      </c>
      <c r="H13" s="137">
        <v>8</v>
      </c>
      <c r="I13" s="137">
        <v>9</v>
      </c>
      <c r="J13" s="137">
        <v>10</v>
      </c>
      <c r="K13" s="137">
        <v>11</v>
      </c>
      <c r="L13" s="137">
        <v>12</v>
      </c>
      <c r="M13" s="137">
        <v>13</v>
      </c>
      <c r="N13" s="137">
        <v>14</v>
      </c>
      <c r="O13" s="137">
        <v>15</v>
      </c>
      <c r="P13" s="137">
        <v>16</v>
      </c>
    </row>
    <row r="14" spans="1:16" s="218" customFormat="1" ht="27" customHeight="1">
      <c r="A14" s="138"/>
      <c r="B14" s="304"/>
      <c r="C14" s="305" t="s">
        <v>1143</v>
      </c>
      <c r="D14" s="306"/>
      <c r="E14" s="306"/>
      <c r="F14" s="306"/>
      <c r="G14" s="306"/>
      <c r="H14" s="307"/>
      <c r="I14" s="138"/>
      <c r="J14" s="138"/>
      <c r="K14" s="138"/>
      <c r="L14" s="138"/>
      <c r="M14" s="138"/>
      <c r="N14" s="138"/>
      <c r="O14" s="138"/>
      <c r="P14" s="138"/>
    </row>
    <row r="15" spans="1:16" s="61" customFormat="1" ht="15" customHeight="1">
      <c r="A15" s="73" t="s">
        <v>1144</v>
      </c>
      <c r="B15" s="87"/>
      <c r="C15" s="292" t="s">
        <v>1145</v>
      </c>
      <c r="D15" s="37" t="s">
        <v>77</v>
      </c>
      <c r="E15" s="87">
        <v>297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</row>
    <row r="16" spans="1:16" s="144" customFormat="1" ht="15" customHeight="1">
      <c r="A16" s="140" t="s">
        <v>1146</v>
      </c>
      <c r="B16" s="308"/>
      <c r="C16" s="275" t="s">
        <v>1118</v>
      </c>
      <c r="D16" s="309" t="s">
        <v>77</v>
      </c>
      <c r="E16" s="309">
        <f>180*1.05</f>
        <v>189</v>
      </c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</row>
    <row r="17" spans="1:16" s="144" customFormat="1" ht="15" customHeight="1">
      <c r="A17" s="140" t="s">
        <v>1147</v>
      </c>
      <c r="B17" s="308"/>
      <c r="C17" s="275" t="s">
        <v>1148</v>
      </c>
      <c r="D17" s="309" t="s">
        <v>412</v>
      </c>
      <c r="E17" s="309">
        <f>40*1.05</f>
        <v>42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1:16" s="144" customFormat="1" ht="15" customHeight="1">
      <c r="A18" s="140" t="s">
        <v>1149</v>
      </c>
      <c r="B18" s="308"/>
      <c r="C18" s="275" t="s">
        <v>1150</v>
      </c>
      <c r="D18" s="309" t="s">
        <v>77</v>
      </c>
      <c r="E18" s="309">
        <f>60*1.05</f>
        <v>63</v>
      </c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</row>
    <row r="19" spans="1:16" s="61" customFormat="1" ht="15" customHeight="1">
      <c r="A19" s="73" t="s">
        <v>1151</v>
      </c>
      <c r="B19" s="87"/>
      <c r="C19" s="292" t="s">
        <v>1032</v>
      </c>
      <c r="D19" s="37" t="s">
        <v>77</v>
      </c>
      <c r="E19" s="87">
        <v>9</v>
      </c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</row>
    <row r="20" spans="1:16" s="144" customFormat="1" ht="26.25" customHeight="1">
      <c r="A20" s="140" t="s">
        <v>1152</v>
      </c>
      <c r="B20" s="308"/>
      <c r="C20" s="275" t="s">
        <v>1153</v>
      </c>
      <c r="D20" s="309" t="s">
        <v>77</v>
      </c>
      <c r="E20" s="309">
        <v>9</v>
      </c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</row>
    <row r="21" spans="1:16" s="31" customFormat="1" ht="52.5" customHeight="1">
      <c r="A21" s="73" t="s">
        <v>1154</v>
      </c>
      <c r="B21" s="37"/>
      <c r="C21" s="292" t="s">
        <v>1155</v>
      </c>
      <c r="D21" s="278" t="s">
        <v>203</v>
      </c>
      <c r="E21" s="278">
        <v>20</v>
      </c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</row>
    <row r="22" spans="1:16" s="144" customFormat="1" ht="65.25" customHeight="1">
      <c r="A22" s="140" t="s">
        <v>1156</v>
      </c>
      <c r="B22" s="169"/>
      <c r="C22" s="275" t="s">
        <v>1157</v>
      </c>
      <c r="D22" s="276" t="s">
        <v>203</v>
      </c>
      <c r="E22" s="276">
        <v>1</v>
      </c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</row>
    <row r="23" spans="1:16" s="144" customFormat="1" ht="15" customHeight="1">
      <c r="A23" s="140" t="s">
        <v>1158</v>
      </c>
      <c r="B23" s="169"/>
      <c r="C23" s="275" t="s">
        <v>1159</v>
      </c>
      <c r="D23" s="276" t="s">
        <v>203</v>
      </c>
      <c r="E23" s="276">
        <v>1</v>
      </c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</row>
    <row r="24" spans="1:16" s="144" customFormat="1" ht="15" customHeight="1">
      <c r="A24" s="140" t="s">
        <v>1160</v>
      </c>
      <c r="B24" s="169"/>
      <c r="C24" s="275" t="s">
        <v>1161</v>
      </c>
      <c r="D24" s="276" t="s">
        <v>203</v>
      </c>
      <c r="E24" s="276">
        <v>3</v>
      </c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</row>
    <row r="25" spans="1:16" s="144" customFormat="1" ht="17.25" customHeight="1">
      <c r="A25" s="140" t="s">
        <v>1162</v>
      </c>
      <c r="B25" s="169"/>
      <c r="C25" s="275" t="s">
        <v>1163</v>
      </c>
      <c r="D25" s="276" t="s">
        <v>203</v>
      </c>
      <c r="E25" s="276">
        <v>1</v>
      </c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</row>
    <row r="26" spans="1:16" s="144" customFormat="1" ht="15" customHeight="1">
      <c r="A26" s="140" t="s">
        <v>1164</v>
      </c>
      <c r="B26" s="169"/>
      <c r="C26" s="275" t="s">
        <v>1165</v>
      </c>
      <c r="D26" s="276" t="s">
        <v>203</v>
      </c>
      <c r="E26" s="276">
        <v>2</v>
      </c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</row>
    <row r="27" spans="1:16" s="144" customFormat="1" ht="15" customHeight="1">
      <c r="A27" s="140" t="s">
        <v>1166</v>
      </c>
      <c r="B27" s="169"/>
      <c r="C27" s="275" t="s">
        <v>1167</v>
      </c>
      <c r="D27" s="276" t="s">
        <v>203</v>
      </c>
      <c r="E27" s="276">
        <v>2</v>
      </c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</row>
    <row r="28" spans="1:16" s="144" customFormat="1" ht="15" customHeight="1">
      <c r="A28" s="140" t="s">
        <v>1168</v>
      </c>
      <c r="B28" s="169"/>
      <c r="C28" s="275" t="s">
        <v>1169</v>
      </c>
      <c r="D28" s="276" t="s">
        <v>203</v>
      </c>
      <c r="E28" s="276">
        <v>3</v>
      </c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</row>
    <row r="29" spans="1:16" s="144" customFormat="1" ht="15" customHeight="1">
      <c r="A29" s="140" t="s">
        <v>1170</v>
      </c>
      <c r="B29" s="169"/>
      <c r="C29" s="275" t="s">
        <v>1171</v>
      </c>
      <c r="D29" s="276" t="s">
        <v>203</v>
      </c>
      <c r="E29" s="276">
        <v>3</v>
      </c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</row>
    <row r="30" spans="1:16" s="144" customFormat="1" ht="15" customHeight="1">
      <c r="A30" s="140" t="s">
        <v>1172</v>
      </c>
      <c r="B30" s="169"/>
      <c r="C30" s="275" t="s">
        <v>1173</v>
      </c>
      <c r="D30" s="276" t="s">
        <v>203</v>
      </c>
      <c r="E30" s="276">
        <v>1</v>
      </c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</row>
    <row r="31" spans="1:16" s="144" customFormat="1" ht="15" customHeight="1">
      <c r="A31" s="140" t="s">
        <v>1174</v>
      </c>
      <c r="B31" s="169"/>
      <c r="C31" s="275" t="s">
        <v>1175</v>
      </c>
      <c r="D31" s="276" t="s">
        <v>203</v>
      </c>
      <c r="E31" s="276">
        <v>1</v>
      </c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</row>
    <row r="32" spans="1:16" s="144" customFormat="1" ht="15" customHeight="1">
      <c r="A32" s="140" t="s">
        <v>1176</v>
      </c>
      <c r="B32" s="169"/>
      <c r="C32" s="275" t="s">
        <v>1177</v>
      </c>
      <c r="D32" s="276" t="s">
        <v>203</v>
      </c>
      <c r="E32" s="276">
        <v>2</v>
      </c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</row>
    <row r="33" spans="1:16" s="144" customFormat="1" ht="15" customHeight="1">
      <c r="A33" s="140" t="s">
        <v>1178</v>
      </c>
      <c r="B33" s="169"/>
      <c r="C33" s="275" t="s">
        <v>1179</v>
      </c>
      <c r="D33" s="169" t="s">
        <v>306</v>
      </c>
      <c r="E33" s="276">
        <v>20</v>
      </c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</row>
    <row r="34" spans="1:16" s="144" customFormat="1" ht="26.25" customHeight="1">
      <c r="A34" s="140" t="s">
        <v>1180</v>
      </c>
      <c r="B34" s="169"/>
      <c r="C34" s="116" t="s">
        <v>1181</v>
      </c>
      <c r="D34" s="169" t="s">
        <v>306</v>
      </c>
      <c r="E34" s="169">
        <v>20</v>
      </c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</row>
    <row r="35" spans="1:16" s="31" customFormat="1" ht="26.25" customHeight="1">
      <c r="A35" s="140" t="s">
        <v>1182</v>
      </c>
      <c r="B35" s="37"/>
      <c r="C35" s="288" t="s">
        <v>1123</v>
      </c>
      <c r="D35" s="282" t="s">
        <v>108</v>
      </c>
      <c r="E35" s="37">
        <v>1</v>
      </c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</row>
    <row r="36" spans="1:16" s="109" customFormat="1" ht="13.5" customHeight="1">
      <c r="A36" s="130"/>
      <c r="B36" s="131"/>
      <c r="C36" s="132"/>
      <c r="D36" s="310"/>
      <c r="E36" s="310"/>
      <c r="F36" s="131"/>
      <c r="G36" s="133"/>
      <c r="H36" s="134"/>
      <c r="I36" s="134"/>
      <c r="J36" s="134"/>
      <c r="K36" s="134"/>
      <c r="L36" s="134"/>
      <c r="M36" s="134"/>
      <c r="N36" s="134"/>
      <c r="O36" s="134"/>
      <c r="P36" s="134"/>
    </row>
    <row r="37" spans="1:16" s="109" customFormat="1" ht="13.5" customHeight="1">
      <c r="A37" s="311"/>
      <c r="B37" s="312"/>
      <c r="C37" s="313"/>
      <c r="D37" s="312"/>
      <c r="E37" s="312"/>
      <c r="F37" s="312"/>
      <c r="G37" s="314"/>
      <c r="H37" s="315"/>
      <c r="I37" s="315"/>
      <c r="J37" s="315"/>
      <c r="K37" s="315"/>
      <c r="L37" s="315"/>
      <c r="M37" s="315"/>
      <c r="N37" s="315"/>
      <c r="O37" s="315"/>
      <c r="P37" s="315"/>
    </row>
    <row r="38" spans="1:16" s="109" customFormat="1" ht="13.5" customHeight="1">
      <c r="A38" s="311"/>
      <c r="B38" s="312"/>
      <c r="C38" s="313"/>
      <c r="D38" s="312"/>
      <c r="E38" s="312"/>
      <c r="F38" s="312"/>
      <c r="G38" s="314"/>
      <c r="H38" s="315"/>
      <c r="I38" s="315"/>
      <c r="J38" s="315"/>
      <c r="K38" s="315"/>
      <c r="L38" s="315"/>
      <c r="M38" s="315"/>
      <c r="N38" s="315"/>
      <c r="O38" s="315"/>
      <c r="P38" s="315"/>
    </row>
    <row r="39" ht="12">
      <c r="C39" s="9" t="s">
        <v>1183</v>
      </c>
    </row>
  </sheetData>
  <mergeCells count="10">
    <mergeCell ref="N8:O8"/>
    <mergeCell ref="I9:P9"/>
    <mergeCell ref="A10:H10"/>
    <mergeCell ref="A11:A12"/>
    <mergeCell ref="B11:B12"/>
    <mergeCell ref="C11:C12"/>
    <mergeCell ref="D11:D12"/>
    <mergeCell ref="E11:E12"/>
    <mergeCell ref="F11:K11"/>
    <mergeCell ref="L11:P11"/>
  </mergeCells>
  <printOptions horizontalCentered="1"/>
  <pageMargins left="0.39375" right="0.39375" top="0.9840277777777777" bottom="0.5902777777777778" header="0.5118055555555555" footer="0.19652777777777777"/>
  <pageSetup horizontalDpi="300" verticalDpi="300" orientation="landscape" paperSize="9" scale="85"/>
  <headerFooter alignWithMargins="0">
    <oddFooter>&amp;CPage &amp;P&amp;R&amp;A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2"/>
  <sheetViews>
    <sheetView zoomScaleSheetLayoutView="140" workbookViewId="0" topLeftCell="A1">
      <selection activeCell="I3" sqref="I3"/>
    </sheetView>
  </sheetViews>
  <sheetFormatPr defaultColWidth="9.140625" defaultRowHeight="12.75"/>
  <cols>
    <col min="1" max="1" width="7.140625" style="135" customWidth="1"/>
    <col min="2" max="2" width="5.00390625" style="9" customWidth="1"/>
    <col min="3" max="3" width="33.57421875" style="9" customWidth="1"/>
    <col min="4" max="4" width="7.7109375" style="135" customWidth="1"/>
    <col min="5" max="8" width="8.57421875" style="9" customWidth="1"/>
    <col min="9" max="9" width="9.00390625" style="9" customWidth="1"/>
    <col min="10" max="10" width="8.57421875" style="9" customWidth="1"/>
    <col min="11" max="16" width="10.00390625" style="9" customWidth="1"/>
    <col min="17" max="16384" width="9.140625" style="9" customWidth="1"/>
  </cols>
  <sheetData>
    <row r="1" spans="1:16" ht="14.25">
      <c r="A1" s="152"/>
      <c r="B1" s="58"/>
      <c r="C1" s="58"/>
      <c r="D1" s="58"/>
      <c r="E1" s="58"/>
      <c r="F1" s="58"/>
      <c r="G1" s="58" t="s">
        <v>1184</v>
      </c>
      <c r="H1" s="58"/>
      <c r="I1" s="58"/>
      <c r="J1" s="58"/>
      <c r="K1" s="58"/>
      <c r="L1" s="58"/>
      <c r="M1" s="58"/>
      <c r="N1" s="58"/>
      <c r="O1" s="58"/>
      <c r="P1" s="58"/>
    </row>
    <row r="2" spans="1:16" ht="14.25">
      <c r="A2" s="316"/>
      <c r="B2" s="59"/>
      <c r="C2" s="59"/>
      <c r="D2" s="59"/>
      <c r="E2" s="59"/>
      <c r="F2" s="59"/>
      <c r="G2" s="59" t="s">
        <v>1185</v>
      </c>
      <c r="H2" s="59"/>
      <c r="I2" s="59"/>
      <c r="J2" s="59"/>
      <c r="K2" s="59"/>
      <c r="L2" s="59"/>
      <c r="M2" s="59"/>
      <c r="N2" s="59"/>
      <c r="O2" s="59"/>
      <c r="P2" s="59"/>
    </row>
    <row r="3" spans="1:16" ht="14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16" ht="14.25">
      <c r="A4" s="7" t="s">
        <v>23</v>
      </c>
      <c r="B4" s="8"/>
      <c r="C4"/>
      <c r="D4" s="7" t="s">
        <v>24</v>
      </c>
      <c r="E4" s="60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</row>
    <row r="5" spans="1:16" ht="14.25">
      <c r="A5" s="7" t="s">
        <v>25</v>
      </c>
      <c r="B5" s="10"/>
      <c r="C5"/>
      <c r="D5" s="32" t="s">
        <v>26</v>
      </c>
      <c r="E5" s="8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</row>
    <row r="6" spans="1:16" s="9" customFormat="1" ht="12.75" customHeight="1">
      <c r="A6" s="7" t="s">
        <v>4</v>
      </c>
      <c r="B6" s="8"/>
      <c r="C6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 customHeight="1">
      <c r="A7" s="10" t="s">
        <v>5</v>
      </c>
      <c r="B7" s="11"/>
      <c r="C7"/>
      <c r="D7" s="9" t="s">
        <v>6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4" ht="12.75" customHeight="1">
      <c r="A8" s="7" t="s">
        <v>7</v>
      </c>
      <c r="B8" s="10"/>
      <c r="C8"/>
      <c r="D8" s="51" t="s">
        <v>8</v>
      </c>
    </row>
    <row r="9" spans="1:16" ht="12.75" customHeight="1">
      <c r="A9" s="7" t="s">
        <v>9</v>
      </c>
      <c r="B9" s="8"/>
      <c r="C9"/>
      <c r="D9" s="7" t="s">
        <v>10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3.5" customHeight="1">
      <c r="A10" s="39" t="s">
        <v>56</v>
      </c>
      <c r="B10" s="65" t="s">
        <v>57</v>
      </c>
      <c r="C10" s="66" t="s">
        <v>58</v>
      </c>
      <c r="D10" s="65" t="s">
        <v>59</v>
      </c>
      <c r="E10" s="65" t="s">
        <v>60</v>
      </c>
      <c r="F10" s="66" t="s">
        <v>61</v>
      </c>
      <c r="G10" s="66"/>
      <c r="H10" s="66"/>
      <c r="I10" s="66"/>
      <c r="J10" s="66"/>
      <c r="K10" s="66"/>
      <c r="L10" s="66" t="s">
        <v>62</v>
      </c>
      <c r="M10" s="66" t="s">
        <v>62</v>
      </c>
      <c r="N10" s="66"/>
      <c r="O10" s="66"/>
      <c r="P10" s="66"/>
    </row>
    <row r="11" spans="1:16" ht="57.75" customHeight="1">
      <c r="A11" s="39"/>
      <c r="B11" s="65"/>
      <c r="C11" s="66"/>
      <c r="D11" s="65"/>
      <c r="E11" s="65"/>
      <c r="F11" s="65" t="s">
        <v>63</v>
      </c>
      <c r="G11" s="65" t="s">
        <v>64</v>
      </c>
      <c r="H11" s="65" t="s">
        <v>65</v>
      </c>
      <c r="I11" s="65" t="s">
        <v>66</v>
      </c>
      <c r="J11" s="65" t="s">
        <v>67</v>
      </c>
      <c r="K11" s="65" t="s">
        <v>68</v>
      </c>
      <c r="L11" s="65" t="s">
        <v>49</v>
      </c>
      <c r="M11" s="65" t="s">
        <v>69</v>
      </c>
      <c r="N11" s="65" t="s">
        <v>70</v>
      </c>
      <c r="O11" s="65" t="s">
        <v>67</v>
      </c>
      <c r="P11" s="65" t="s">
        <v>71</v>
      </c>
    </row>
    <row r="12" spans="1:16" s="155" customFormat="1" ht="13.5" customHeight="1">
      <c r="A12" s="137">
        <v>1</v>
      </c>
      <c r="B12" s="137">
        <v>2</v>
      </c>
      <c r="C12" s="137">
        <v>3</v>
      </c>
      <c r="D12" s="137">
        <v>4</v>
      </c>
      <c r="E12" s="137">
        <v>5</v>
      </c>
      <c r="F12" s="137">
        <v>6</v>
      </c>
      <c r="G12" s="137">
        <v>7</v>
      </c>
      <c r="H12" s="137">
        <v>8</v>
      </c>
      <c r="I12" s="137">
        <v>9</v>
      </c>
      <c r="J12" s="137">
        <v>10</v>
      </c>
      <c r="K12" s="137">
        <v>11</v>
      </c>
      <c r="L12" s="137">
        <v>12</v>
      </c>
      <c r="M12" s="137">
        <v>13</v>
      </c>
      <c r="N12" s="137">
        <v>14</v>
      </c>
      <c r="O12" s="137">
        <v>15</v>
      </c>
      <c r="P12" s="137">
        <v>16</v>
      </c>
    </row>
    <row r="13" spans="1:16" s="11" customFormat="1" ht="15" customHeight="1">
      <c r="A13" s="73"/>
      <c r="B13" s="160"/>
      <c r="C13" s="300" t="s">
        <v>1186</v>
      </c>
      <c r="D13" s="317"/>
      <c r="E13" s="317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</row>
    <row r="14" spans="1:16" s="11" customFormat="1" ht="45.75" customHeight="1">
      <c r="A14" s="73" t="s">
        <v>1187</v>
      </c>
      <c r="B14" s="160"/>
      <c r="C14" s="288" t="s">
        <v>1188</v>
      </c>
      <c r="D14" s="288" t="s">
        <v>306</v>
      </c>
      <c r="E14" s="282">
        <v>1</v>
      </c>
      <c r="F14" s="318"/>
      <c r="G14" s="80"/>
      <c r="H14" s="80"/>
      <c r="I14" s="80"/>
      <c r="J14" s="80"/>
      <c r="K14" s="80"/>
      <c r="L14" s="80"/>
      <c r="M14" s="80"/>
      <c r="N14" s="80"/>
      <c r="O14" s="80"/>
      <c r="P14" s="80"/>
    </row>
    <row r="15" spans="1:16" s="31" customFormat="1" ht="28.5" customHeight="1">
      <c r="A15" s="73" t="s">
        <v>1189</v>
      </c>
      <c r="B15" s="148"/>
      <c r="C15" s="148" t="s">
        <v>1190</v>
      </c>
      <c r="D15" s="37" t="s">
        <v>77</v>
      </c>
      <c r="E15" s="37">
        <f>SUM(E16:E20)</f>
        <v>29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</row>
    <row r="16" spans="1:16" s="144" customFormat="1" ht="24.75" customHeight="1">
      <c r="A16" s="140" t="s">
        <v>1191</v>
      </c>
      <c r="B16" s="158"/>
      <c r="C16" s="116" t="s">
        <v>1192</v>
      </c>
      <c r="D16" s="169" t="s">
        <v>77</v>
      </c>
      <c r="E16" s="169">
        <v>12</v>
      </c>
      <c r="F16" s="143"/>
      <c r="G16" s="143"/>
      <c r="H16" s="143"/>
      <c r="I16" s="158"/>
      <c r="J16" s="171"/>
      <c r="K16" s="171"/>
      <c r="L16" s="171"/>
      <c r="M16" s="171"/>
      <c r="N16" s="171"/>
      <c r="O16" s="171"/>
      <c r="P16" s="171"/>
    </row>
    <row r="17" spans="1:16" s="144" customFormat="1" ht="29.25" customHeight="1">
      <c r="A17" s="140" t="s">
        <v>1193</v>
      </c>
      <c r="B17" s="158"/>
      <c r="C17" s="116" t="s">
        <v>1194</v>
      </c>
      <c r="D17" s="169" t="s">
        <v>77</v>
      </c>
      <c r="E17" s="169">
        <v>9</v>
      </c>
      <c r="F17" s="143"/>
      <c r="G17" s="143"/>
      <c r="H17" s="143"/>
      <c r="I17" s="158"/>
      <c r="J17" s="171"/>
      <c r="K17" s="171"/>
      <c r="L17" s="171"/>
      <c r="M17" s="171"/>
      <c r="N17" s="171"/>
      <c r="O17" s="171"/>
      <c r="P17" s="171"/>
    </row>
    <row r="18" spans="1:16" s="144" customFormat="1" ht="22.5" customHeight="1">
      <c r="A18" s="140" t="s">
        <v>1195</v>
      </c>
      <c r="B18" s="158"/>
      <c r="C18" s="116" t="s">
        <v>1196</v>
      </c>
      <c r="D18" s="169" t="s">
        <v>77</v>
      </c>
      <c r="E18" s="169">
        <v>3</v>
      </c>
      <c r="F18" s="143"/>
      <c r="G18" s="143"/>
      <c r="H18" s="143"/>
      <c r="I18" s="158"/>
      <c r="J18" s="171"/>
      <c r="K18" s="171"/>
      <c r="L18" s="171"/>
      <c r="M18" s="171"/>
      <c r="N18" s="171"/>
      <c r="O18" s="171"/>
      <c r="P18" s="171"/>
    </row>
    <row r="19" spans="1:16" s="144" customFormat="1" ht="24.75" customHeight="1">
      <c r="A19" s="140" t="s">
        <v>1197</v>
      </c>
      <c r="B19" s="158"/>
      <c r="C19" s="116" t="s">
        <v>1198</v>
      </c>
      <c r="D19" s="169" t="s">
        <v>77</v>
      </c>
      <c r="E19" s="169">
        <v>2</v>
      </c>
      <c r="F19" s="143"/>
      <c r="G19" s="143"/>
      <c r="H19" s="143"/>
      <c r="I19" s="158"/>
      <c r="J19" s="171"/>
      <c r="K19" s="171"/>
      <c r="L19" s="171"/>
      <c r="M19" s="171"/>
      <c r="N19" s="171"/>
      <c r="O19" s="171"/>
      <c r="P19" s="171"/>
    </row>
    <row r="20" spans="1:16" s="144" customFormat="1" ht="26.25" customHeight="1">
      <c r="A20" s="140" t="s">
        <v>1199</v>
      </c>
      <c r="B20" s="158"/>
      <c r="C20" s="116" t="s">
        <v>1200</v>
      </c>
      <c r="D20" s="169" t="s">
        <v>77</v>
      </c>
      <c r="E20" s="169">
        <v>3</v>
      </c>
      <c r="F20" s="143"/>
      <c r="G20" s="143"/>
      <c r="H20" s="143"/>
      <c r="I20" s="158"/>
      <c r="J20" s="171"/>
      <c r="K20" s="171"/>
      <c r="L20" s="171"/>
      <c r="M20" s="171"/>
      <c r="N20" s="171"/>
      <c r="O20" s="171"/>
      <c r="P20" s="171"/>
    </row>
    <row r="21" spans="1:16" s="227" customFormat="1" ht="12.75" customHeight="1">
      <c r="A21" s="73" t="s">
        <v>1201</v>
      </c>
      <c r="B21" s="231"/>
      <c r="C21" s="79" t="s">
        <v>1202</v>
      </c>
      <c r="D21" s="37" t="s">
        <v>77</v>
      </c>
      <c r="E21" s="37">
        <v>3</v>
      </c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</row>
    <row r="22" spans="1:16" s="229" customFormat="1" ht="12.75" customHeight="1">
      <c r="A22" s="73" t="s">
        <v>1203</v>
      </c>
      <c r="B22" s="236"/>
      <c r="C22" s="319" t="s">
        <v>1204</v>
      </c>
      <c r="D22" s="320" t="s">
        <v>77</v>
      </c>
      <c r="E22" s="320">
        <v>3</v>
      </c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</row>
    <row r="23" spans="1:16" s="31" customFormat="1" ht="12.75" customHeight="1">
      <c r="A23" s="73" t="s">
        <v>1205</v>
      </c>
      <c r="B23" s="148"/>
      <c r="C23" s="79" t="s">
        <v>1032</v>
      </c>
      <c r="D23" s="37" t="s">
        <v>77</v>
      </c>
      <c r="E23" s="37">
        <f>SUM(E24:E29)</f>
        <v>32</v>
      </c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</row>
    <row r="24" spans="1:16" s="144" customFormat="1" ht="24.75">
      <c r="A24" s="140" t="s">
        <v>1206</v>
      </c>
      <c r="B24" s="158"/>
      <c r="C24" s="116" t="s">
        <v>1207</v>
      </c>
      <c r="D24" s="169" t="s">
        <v>77</v>
      </c>
      <c r="E24" s="169">
        <v>12</v>
      </c>
      <c r="F24" s="143"/>
      <c r="G24" s="143"/>
      <c r="H24" s="143"/>
      <c r="I24" s="158"/>
      <c r="J24" s="143"/>
      <c r="K24" s="143"/>
      <c r="L24" s="143"/>
      <c r="M24" s="143"/>
      <c r="N24" s="143"/>
      <c r="O24" s="143"/>
      <c r="P24" s="143"/>
    </row>
    <row r="25" spans="1:16" s="144" customFormat="1" ht="24.75">
      <c r="A25" s="140" t="s">
        <v>1208</v>
      </c>
      <c r="B25" s="158"/>
      <c r="C25" s="116" t="s">
        <v>1209</v>
      </c>
      <c r="D25" s="169" t="s">
        <v>77</v>
      </c>
      <c r="E25" s="169">
        <v>9</v>
      </c>
      <c r="F25" s="143"/>
      <c r="G25" s="143"/>
      <c r="H25" s="143"/>
      <c r="I25" s="158"/>
      <c r="J25" s="143"/>
      <c r="K25" s="143"/>
      <c r="L25" s="143"/>
      <c r="M25" s="143"/>
      <c r="N25" s="143"/>
      <c r="O25" s="143"/>
      <c r="P25" s="143"/>
    </row>
    <row r="26" spans="1:16" s="144" customFormat="1" ht="24.75">
      <c r="A26" s="140" t="s">
        <v>1210</v>
      </c>
      <c r="B26" s="158"/>
      <c r="C26" s="116" t="s">
        <v>1211</v>
      </c>
      <c r="D26" s="169" t="s">
        <v>77</v>
      </c>
      <c r="E26" s="169">
        <v>3</v>
      </c>
      <c r="F26" s="143"/>
      <c r="G26" s="143"/>
      <c r="H26" s="143"/>
      <c r="I26" s="158"/>
      <c r="J26" s="143"/>
      <c r="K26" s="143"/>
      <c r="L26" s="143"/>
      <c r="M26" s="143"/>
      <c r="N26" s="143"/>
      <c r="O26" s="143"/>
      <c r="P26" s="143"/>
    </row>
    <row r="27" spans="1:16" s="144" customFormat="1" ht="24.75">
      <c r="A27" s="140" t="s">
        <v>1212</v>
      </c>
      <c r="B27" s="158"/>
      <c r="C27" s="116" t="s">
        <v>1213</v>
      </c>
      <c r="D27" s="169" t="s">
        <v>77</v>
      </c>
      <c r="E27" s="169">
        <v>2</v>
      </c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</row>
    <row r="28" spans="1:16" s="144" customFormat="1" ht="24.75">
      <c r="A28" s="140" t="s">
        <v>1214</v>
      </c>
      <c r="B28" s="158"/>
      <c r="C28" s="116" t="s">
        <v>1215</v>
      </c>
      <c r="D28" s="169" t="s">
        <v>77</v>
      </c>
      <c r="E28" s="169">
        <v>3</v>
      </c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</row>
    <row r="29" spans="1:16" s="144" customFormat="1" ht="24.75">
      <c r="A29" s="140" t="s">
        <v>1216</v>
      </c>
      <c r="B29" s="158"/>
      <c r="C29" s="116" t="s">
        <v>1217</v>
      </c>
      <c r="D29" s="169" t="s">
        <v>77</v>
      </c>
      <c r="E29" s="321">
        <v>3</v>
      </c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</row>
    <row r="30" spans="1:16" s="31" customFormat="1" ht="21" customHeight="1">
      <c r="A30" s="73" t="s">
        <v>1218</v>
      </c>
      <c r="B30" s="148"/>
      <c r="C30" s="297" t="s">
        <v>305</v>
      </c>
      <c r="D30" s="273" t="s">
        <v>306</v>
      </c>
      <c r="E30" s="273">
        <v>1</v>
      </c>
      <c r="F30" s="80"/>
      <c r="G30" s="80"/>
      <c r="H30" s="80"/>
      <c r="I30" s="322"/>
      <c r="J30" s="80"/>
      <c r="K30" s="80"/>
      <c r="L30" s="80"/>
      <c r="M30" s="80"/>
      <c r="N30" s="80"/>
      <c r="O30" s="80"/>
      <c r="P30" s="80"/>
    </row>
    <row r="31" spans="1:16" s="11" customFormat="1" ht="17.25" customHeight="1">
      <c r="A31" s="140"/>
      <c r="B31" s="160"/>
      <c r="C31" s="300" t="s">
        <v>1219</v>
      </c>
      <c r="D31" s="317"/>
      <c r="E31" s="317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</row>
    <row r="32" spans="1:16" s="11" customFormat="1" ht="90" customHeight="1">
      <c r="A32" s="73" t="s">
        <v>1220</v>
      </c>
      <c r="B32" s="160"/>
      <c r="C32" s="292" t="s">
        <v>1221</v>
      </c>
      <c r="D32" s="288" t="s">
        <v>306</v>
      </c>
      <c r="E32" s="282">
        <v>1</v>
      </c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</row>
    <row r="33" spans="1:16" s="144" customFormat="1" ht="80.25" customHeight="1">
      <c r="A33" s="140" t="s">
        <v>1222</v>
      </c>
      <c r="B33" s="158"/>
      <c r="C33" s="116" t="s">
        <v>1223</v>
      </c>
      <c r="D33" s="169" t="s">
        <v>77</v>
      </c>
      <c r="E33" s="169">
        <v>8.33</v>
      </c>
      <c r="F33" s="143"/>
      <c r="G33" s="143"/>
      <c r="H33" s="143"/>
      <c r="I33" s="230"/>
      <c r="J33" s="143"/>
      <c r="K33" s="143"/>
      <c r="L33" s="143"/>
      <c r="M33" s="143"/>
      <c r="N33" s="143"/>
      <c r="O33" s="143"/>
      <c r="P33" s="143"/>
    </row>
    <row r="34" spans="1:16" s="144" customFormat="1" ht="24.75">
      <c r="A34" s="140" t="s">
        <v>1224</v>
      </c>
      <c r="B34" s="158"/>
      <c r="C34" s="116" t="s">
        <v>1225</v>
      </c>
      <c r="D34" s="169" t="s">
        <v>167</v>
      </c>
      <c r="E34" s="169">
        <v>5</v>
      </c>
      <c r="F34" s="143"/>
      <c r="G34" s="143"/>
      <c r="H34" s="143"/>
      <c r="I34" s="230"/>
      <c r="J34" s="143"/>
      <c r="K34" s="143"/>
      <c r="L34" s="143"/>
      <c r="M34" s="143"/>
      <c r="N34" s="143"/>
      <c r="O34" s="143"/>
      <c r="P34" s="143"/>
    </row>
    <row r="35" spans="1:16" s="144" customFormat="1" ht="14.25" customHeight="1">
      <c r="A35" s="140" t="s">
        <v>1226</v>
      </c>
      <c r="B35" s="158"/>
      <c r="C35" s="116" t="s">
        <v>1227</v>
      </c>
      <c r="D35" s="169" t="s">
        <v>306</v>
      </c>
      <c r="E35" s="169">
        <v>1</v>
      </c>
      <c r="F35" s="143"/>
      <c r="G35" s="143"/>
      <c r="H35" s="143"/>
      <c r="I35" s="230"/>
      <c r="J35" s="143"/>
      <c r="K35" s="143"/>
      <c r="L35" s="143"/>
      <c r="M35" s="143"/>
      <c r="N35" s="143"/>
      <c r="O35" s="143"/>
      <c r="P35" s="143"/>
    </row>
    <row r="36" spans="1:16" s="144" customFormat="1" ht="14.25" customHeight="1">
      <c r="A36" s="140" t="s">
        <v>1228</v>
      </c>
      <c r="B36" s="158"/>
      <c r="C36" s="116" t="s">
        <v>1229</v>
      </c>
      <c r="D36" s="169" t="s">
        <v>167</v>
      </c>
      <c r="E36" s="169">
        <v>18</v>
      </c>
      <c r="F36" s="143"/>
      <c r="G36" s="143"/>
      <c r="H36" s="143"/>
      <c r="I36" s="230"/>
      <c r="J36" s="143"/>
      <c r="K36" s="143"/>
      <c r="L36" s="143"/>
      <c r="M36" s="143"/>
      <c r="N36" s="143"/>
      <c r="O36" s="143"/>
      <c r="P36" s="143"/>
    </row>
    <row r="37" spans="1:16" s="144" customFormat="1" ht="14.25" customHeight="1">
      <c r="A37" s="140" t="s">
        <v>1230</v>
      </c>
      <c r="B37" s="158"/>
      <c r="C37" s="116" t="s">
        <v>1231</v>
      </c>
      <c r="D37" s="169" t="s">
        <v>77</v>
      </c>
      <c r="E37" s="169">
        <v>20</v>
      </c>
      <c r="F37" s="143"/>
      <c r="G37" s="143"/>
      <c r="H37" s="143"/>
      <c r="I37" s="230"/>
      <c r="J37" s="143"/>
      <c r="K37" s="143"/>
      <c r="L37" s="143"/>
      <c r="M37" s="143"/>
      <c r="N37" s="143"/>
      <c r="O37" s="143"/>
      <c r="P37" s="143"/>
    </row>
    <row r="38" spans="1:16" s="144" customFormat="1" ht="14.25" customHeight="1">
      <c r="A38" s="140" t="s">
        <v>1232</v>
      </c>
      <c r="B38" s="158"/>
      <c r="C38" s="116" t="s">
        <v>1233</v>
      </c>
      <c r="D38" s="281" t="s">
        <v>105</v>
      </c>
      <c r="E38" s="169">
        <v>1</v>
      </c>
      <c r="F38" s="143"/>
      <c r="G38" s="143"/>
      <c r="H38" s="143"/>
      <c r="I38" s="230"/>
      <c r="J38" s="143"/>
      <c r="K38" s="143"/>
      <c r="L38" s="143"/>
      <c r="M38" s="143"/>
      <c r="N38" s="143"/>
      <c r="O38" s="143"/>
      <c r="P38" s="143"/>
    </row>
    <row r="39" spans="1:16" s="144" customFormat="1" ht="14.25" customHeight="1">
      <c r="A39" s="140" t="s">
        <v>1234</v>
      </c>
      <c r="B39" s="158"/>
      <c r="C39" s="116" t="s">
        <v>1235</v>
      </c>
      <c r="D39" s="281" t="s">
        <v>105</v>
      </c>
      <c r="E39" s="169">
        <v>1</v>
      </c>
      <c r="F39" s="143"/>
      <c r="G39" s="143"/>
      <c r="H39" s="143"/>
      <c r="I39" s="230"/>
      <c r="J39" s="143"/>
      <c r="K39" s="143"/>
      <c r="L39" s="143"/>
      <c r="M39" s="143"/>
      <c r="N39" s="143"/>
      <c r="O39" s="143"/>
      <c r="P39" s="143"/>
    </row>
    <row r="40" spans="1:16" s="144" customFormat="1" ht="14.25" customHeight="1">
      <c r="A40" s="140" t="s">
        <v>1236</v>
      </c>
      <c r="B40" s="158"/>
      <c r="C40" s="116" t="s">
        <v>1237</v>
      </c>
      <c r="D40" s="169" t="s">
        <v>167</v>
      </c>
      <c r="E40" s="169">
        <v>5</v>
      </c>
      <c r="F40" s="143"/>
      <c r="G40" s="143"/>
      <c r="H40" s="143"/>
      <c r="I40" s="230"/>
      <c r="J40" s="143"/>
      <c r="K40" s="143"/>
      <c r="L40" s="143"/>
      <c r="M40" s="143"/>
      <c r="N40" s="143"/>
      <c r="O40" s="143"/>
      <c r="P40" s="143"/>
    </row>
    <row r="41" spans="1:16" s="144" customFormat="1" ht="14.25" customHeight="1">
      <c r="A41" s="140" t="s">
        <v>1238</v>
      </c>
      <c r="B41" s="323"/>
      <c r="C41" s="324" t="s">
        <v>305</v>
      </c>
      <c r="D41" s="325" t="s">
        <v>306</v>
      </c>
      <c r="E41" s="325">
        <v>1</v>
      </c>
      <c r="F41" s="151"/>
      <c r="G41" s="151"/>
      <c r="H41" s="151"/>
      <c r="I41" s="326"/>
      <c r="J41" s="151"/>
      <c r="K41" s="151"/>
      <c r="L41" s="151"/>
      <c r="M41" s="151"/>
      <c r="N41" s="151"/>
      <c r="O41" s="151"/>
      <c r="P41" s="151"/>
    </row>
    <row r="42" ht="12">
      <c r="A42" s="9"/>
    </row>
  </sheetData>
  <mergeCells count="7">
    <mergeCell ref="A10:A11"/>
    <mergeCell ref="B10:B11"/>
    <mergeCell ref="C10:C11"/>
    <mergeCell ref="D10:D11"/>
    <mergeCell ref="E10:E11"/>
    <mergeCell ref="F10:K10"/>
    <mergeCell ref="L10:P10"/>
  </mergeCells>
  <printOptions horizontalCentered="1"/>
  <pageMargins left="0.39375" right="0.39375" top="0.7875" bottom="0.39305555555555555" header="0.5118055555555555" footer="0.19652777777777777"/>
  <pageSetup horizontalDpi="300" verticalDpi="300" orientation="landscape" paperSize="9" scale="85"/>
  <headerFooter alignWithMargins="0">
    <oddFooter>&amp;CPage &amp;P&amp;R&amp;A</oddFooter>
  </headerFooter>
  <rowBreaks count="1" manualBreakCount="1">
    <brk id="2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P15"/>
  <sheetViews>
    <sheetView zoomScaleSheetLayoutView="140" workbookViewId="0" topLeftCell="A1">
      <selection activeCell="L5" sqref="L5"/>
    </sheetView>
  </sheetViews>
  <sheetFormatPr defaultColWidth="9.140625" defaultRowHeight="12.75"/>
  <cols>
    <col min="1" max="1" width="7.140625" style="9" customWidth="1"/>
    <col min="2" max="2" width="5.00390625" style="9" customWidth="1"/>
    <col min="3" max="3" width="33.57421875" style="9" customWidth="1"/>
    <col min="4" max="4" width="7.140625" style="135" customWidth="1"/>
    <col min="5" max="8" width="8.57421875" style="9" customWidth="1"/>
    <col min="9" max="9" width="9.140625" style="9" customWidth="1"/>
    <col min="10" max="10" width="8.57421875" style="9" customWidth="1"/>
    <col min="11" max="16" width="10.00390625" style="9" customWidth="1"/>
    <col min="17" max="16384" width="9.140625" style="9" customWidth="1"/>
  </cols>
  <sheetData>
    <row r="1" spans="1:16" ht="14.25">
      <c r="A1" s="58"/>
      <c r="B1" s="58"/>
      <c r="C1" s="58"/>
      <c r="D1" s="58"/>
      <c r="E1" s="58"/>
      <c r="F1" s="58"/>
      <c r="G1" s="58" t="s">
        <v>1239</v>
      </c>
      <c r="H1" s="58"/>
      <c r="I1" s="58"/>
      <c r="J1" s="58"/>
      <c r="K1" s="58"/>
      <c r="L1" s="58"/>
      <c r="M1" s="58"/>
      <c r="N1" s="58"/>
      <c r="O1" s="58"/>
      <c r="P1" s="58"/>
    </row>
    <row r="2" spans="1:16" ht="14.25">
      <c r="A2" s="59"/>
      <c r="B2" s="59"/>
      <c r="C2" s="59"/>
      <c r="D2" s="59"/>
      <c r="E2" s="59"/>
      <c r="F2" s="59"/>
      <c r="G2" s="59" t="s">
        <v>1240</v>
      </c>
      <c r="H2" s="59"/>
      <c r="I2" s="59"/>
      <c r="J2" s="59"/>
      <c r="K2" s="59"/>
      <c r="L2" s="59"/>
      <c r="M2" s="59"/>
      <c r="N2" s="59"/>
      <c r="O2" s="59"/>
      <c r="P2" s="59"/>
    </row>
    <row r="3" spans="1:16" ht="14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16" ht="12.75" customHeight="1">
      <c r="A4" s="7" t="s">
        <v>23</v>
      </c>
      <c r="B4" s="8"/>
      <c r="C4"/>
      <c r="D4" s="7" t="s">
        <v>24</v>
      </c>
      <c r="E4" s="60"/>
      <c r="F4"/>
      <c r="G4" s="7"/>
      <c r="H4" s="60"/>
      <c r="I4" s="8"/>
      <c r="J4" s="8"/>
      <c r="K4" s="8"/>
      <c r="L4" s="8"/>
      <c r="M4" s="8"/>
      <c r="N4" s="8"/>
      <c r="O4" s="8"/>
      <c r="P4" s="8"/>
    </row>
    <row r="5" spans="1:16" ht="12.75" customHeight="1">
      <c r="A5" s="7" t="s">
        <v>25</v>
      </c>
      <c r="B5" s="10"/>
      <c r="C5"/>
      <c r="D5" s="32" t="s">
        <v>26</v>
      </c>
      <c r="E5" s="8"/>
      <c r="F5"/>
      <c r="G5" s="32"/>
      <c r="H5" s="8"/>
      <c r="I5" s="8"/>
      <c r="J5" s="8"/>
      <c r="K5" s="8"/>
      <c r="L5" s="8"/>
      <c r="M5" s="8"/>
      <c r="N5" s="8"/>
      <c r="O5" s="8"/>
      <c r="P5" s="8"/>
    </row>
    <row r="6" spans="1:8" s="9" customFormat="1" ht="12.75" customHeight="1">
      <c r="A6" s="7" t="s">
        <v>4</v>
      </c>
      <c r="B6" s="8"/>
      <c r="C6"/>
      <c r="E6" s="8"/>
      <c r="F6"/>
      <c r="H6" s="8"/>
    </row>
    <row r="7" spans="1:16" ht="12.75" customHeight="1">
      <c r="A7" s="10" t="s">
        <v>5</v>
      </c>
      <c r="B7" s="11"/>
      <c r="C7"/>
      <c r="D7" s="9" t="s">
        <v>6</v>
      </c>
      <c r="F7"/>
      <c r="I7" s="10"/>
      <c r="J7" s="10"/>
      <c r="K7" s="10"/>
      <c r="L7" s="10"/>
      <c r="M7" s="10"/>
      <c r="N7" s="10"/>
      <c r="O7" s="10"/>
      <c r="P7" s="10"/>
    </row>
    <row r="8" spans="1:16" ht="12">
      <c r="A8" s="7" t="s">
        <v>7</v>
      </c>
      <c r="B8" s="10"/>
      <c r="C8"/>
      <c r="D8" s="51" t="s">
        <v>8</v>
      </c>
      <c r="F8"/>
      <c r="G8" s="51"/>
      <c r="I8" s="61"/>
      <c r="J8" s="61"/>
      <c r="K8" s="62"/>
      <c r="L8" s="62"/>
      <c r="M8" s="61"/>
      <c r="N8" s="63"/>
      <c r="O8" s="63"/>
      <c r="P8" s="61"/>
    </row>
    <row r="9" spans="1:16" ht="12">
      <c r="A9" s="7" t="s">
        <v>9</v>
      </c>
      <c r="B9" s="8"/>
      <c r="C9"/>
      <c r="D9" s="7" t="s">
        <v>10</v>
      </c>
      <c r="E9" s="10"/>
      <c r="F9"/>
      <c r="G9" s="7"/>
      <c r="H9" s="10"/>
      <c r="I9" s="7"/>
      <c r="J9" s="10"/>
      <c r="K9" s="10"/>
      <c r="L9" s="10"/>
      <c r="M9" s="10"/>
      <c r="N9" s="10"/>
      <c r="O9" s="10"/>
      <c r="P9" s="10"/>
    </row>
    <row r="10" spans="1:8" ht="12.75" customHeight="1">
      <c r="A10" s="7"/>
      <c r="B10" s="7"/>
      <c r="C10" s="7"/>
      <c r="D10" s="7"/>
      <c r="E10" s="7"/>
      <c r="F10" s="7"/>
      <c r="G10" s="7"/>
      <c r="H10" s="7"/>
    </row>
    <row r="11" spans="1:16" ht="15.75" customHeight="1">
      <c r="A11" s="39" t="s">
        <v>56</v>
      </c>
      <c r="B11" s="65" t="s">
        <v>57</v>
      </c>
      <c r="C11" s="66" t="s">
        <v>58</v>
      </c>
      <c r="D11" s="65" t="s">
        <v>59</v>
      </c>
      <c r="E11" s="65" t="s">
        <v>60</v>
      </c>
      <c r="F11" s="66" t="s">
        <v>61</v>
      </c>
      <c r="G11" s="66"/>
      <c r="H11" s="66"/>
      <c r="I11" s="66"/>
      <c r="J11" s="66"/>
      <c r="K11" s="66"/>
      <c r="L11" s="66" t="s">
        <v>62</v>
      </c>
      <c r="M11" s="66" t="s">
        <v>62</v>
      </c>
      <c r="N11" s="66"/>
      <c r="O11" s="66"/>
      <c r="P11" s="66"/>
    </row>
    <row r="12" spans="1:16" ht="59.25" customHeight="1">
      <c r="A12" s="39"/>
      <c r="B12" s="65"/>
      <c r="C12" s="66"/>
      <c r="D12" s="65"/>
      <c r="E12" s="65"/>
      <c r="F12" s="65" t="s">
        <v>63</v>
      </c>
      <c r="G12" s="65" t="s">
        <v>64</v>
      </c>
      <c r="H12" s="65" t="s">
        <v>65</v>
      </c>
      <c r="I12" s="65" t="s">
        <v>66</v>
      </c>
      <c r="J12" s="65" t="s">
        <v>67</v>
      </c>
      <c r="K12" s="65" t="s">
        <v>68</v>
      </c>
      <c r="L12" s="65" t="s">
        <v>49</v>
      </c>
      <c r="M12" s="65" t="s">
        <v>69</v>
      </c>
      <c r="N12" s="65" t="s">
        <v>70</v>
      </c>
      <c r="O12" s="65" t="s">
        <v>67</v>
      </c>
      <c r="P12" s="65" t="s">
        <v>71</v>
      </c>
    </row>
    <row r="13" spans="1:16" s="155" customFormat="1" ht="15" customHeight="1">
      <c r="A13" s="137">
        <v>1</v>
      </c>
      <c r="B13" s="137">
        <v>2</v>
      </c>
      <c r="C13" s="137">
        <v>3</v>
      </c>
      <c r="D13" s="137">
        <v>4</v>
      </c>
      <c r="E13" s="137">
        <v>5</v>
      </c>
      <c r="F13" s="137">
        <v>6</v>
      </c>
      <c r="G13" s="137">
        <v>7</v>
      </c>
      <c r="H13" s="137">
        <v>8</v>
      </c>
      <c r="I13" s="137">
        <v>9</v>
      </c>
      <c r="J13" s="137">
        <v>10</v>
      </c>
      <c r="K13" s="137">
        <v>11</v>
      </c>
      <c r="L13" s="137">
        <v>12</v>
      </c>
      <c r="M13" s="137">
        <v>13</v>
      </c>
      <c r="N13" s="137">
        <v>14</v>
      </c>
      <c r="O13" s="137">
        <v>15</v>
      </c>
      <c r="P13" s="137">
        <v>16</v>
      </c>
    </row>
    <row r="14" spans="1:16" s="218" customFormat="1" ht="18.75" customHeight="1">
      <c r="A14" s="138"/>
      <c r="B14" s="304"/>
      <c r="C14" s="327" t="s">
        <v>1240</v>
      </c>
      <c r="D14" s="306"/>
      <c r="E14" s="306"/>
      <c r="F14" s="306"/>
      <c r="G14" s="306"/>
      <c r="H14" s="307"/>
      <c r="I14" s="138"/>
      <c r="J14" s="138"/>
      <c r="K14" s="138"/>
      <c r="L14" s="138"/>
      <c r="M14" s="138"/>
      <c r="N14" s="138"/>
      <c r="O14" s="138"/>
      <c r="P14" s="138"/>
    </row>
    <row r="15" spans="1:16" s="31" customFormat="1" ht="43.5" customHeight="1">
      <c r="A15" s="73" t="s">
        <v>1241</v>
      </c>
      <c r="B15" s="37"/>
      <c r="C15" s="328" t="s">
        <v>1242</v>
      </c>
      <c r="D15" s="329" t="s">
        <v>118</v>
      </c>
      <c r="E15" s="174">
        <v>1</v>
      </c>
      <c r="F15" s="175"/>
      <c r="G15" s="175"/>
      <c r="H15" s="80"/>
      <c r="I15" s="80"/>
      <c r="J15" s="80"/>
      <c r="K15" s="80"/>
      <c r="L15" s="80"/>
      <c r="M15" s="80"/>
      <c r="N15" s="80"/>
      <c r="O15" s="80"/>
      <c r="P15" s="80"/>
    </row>
  </sheetData>
  <mergeCells count="9">
    <mergeCell ref="N8:O8"/>
    <mergeCell ref="A10:H10"/>
    <mergeCell ref="A11:A12"/>
    <mergeCell ref="B11:B12"/>
    <mergeCell ref="C11:C12"/>
    <mergeCell ref="D11:D12"/>
    <mergeCell ref="E11:E12"/>
    <mergeCell ref="F11:K11"/>
    <mergeCell ref="L11:P11"/>
  </mergeCells>
  <printOptions horizontalCentered="1"/>
  <pageMargins left="0.39375" right="0.39375" top="0.9840277777777777" bottom="0.5902777777777778" header="0.5118055555555555" footer="0.19652777777777777"/>
  <pageSetup horizontalDpi="300" verticalDpi="300" orientation="landscape" paperSize="9" scale="85"/>
  <headerFooter alignWithMargins="0">
    <oddFooter>&amp;CPage &amp;P&amp;R&amp;A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71"/>
  <sheetViews>
    <sheetView zoomScaleSheetLayoutView="140" workbookViewId="0" topLeftCell="A1">
      <selection activeCell="A4" sqref="A4"/>
    </sheetView>
  </sheetViews>
  <sheetFormatPr defaultColWidth="9.140625" defaultRowHeight="12.75"/>
  <cols>
    <col min="1" max="1" width="7.140625" style="9" customWidth="1"/>
    <col min="2" max="2" width="5.00390625" style="9" customWidth="1"/>
    <col min="3" max="3" width="33.57421875" style="9" customWidth="1"/>
    <col min="4" max="4" width="7.140625" style="135" customWidth="1"/>
    <col min="5" max="10" width="8.57421875" style="9" customWidth="1"/>
    <col min="11" max="16" width="10.00390625" style="9" customWidth="1"/>
    <col min="17" max="16384" width="9.140625" style="9" customWidth="1"/>
  </cols>
  <sheetData>
    <row r="1" spans="1:16" ht="14.25">
      <c r="A1" s="58"/>
      <c r="B1" s="58"/>
      <c r="C1" s="58"/>
      <c r="D1" s="58"/>
      <c r="E1" s="58"/>
      <c r="F1" s="58"/>
      <c r="G1" s="58" t="s">
        <v>1243</v>
      </c>
      <c r="H1" s="58"/>
      <c r="I1" s="58"/>
      <c r="J1" s="58"/>
      <c r="K1" s="58"/>
      <c r="L1" s="58"/>
      <c r="M1" s="58"/>
      <c r="N1" s="58"/>
      <c r="O1" s="58"/>
      <c r="P1" s="58"/>
    </row>
    <row r="2" spans="1:16" ht="14.25">
      <c r="A2" s="59"/>
      <c r="B2" s="59"/>
      <c r="C2" s="59"/>
      <c r="D2" s="59"/>
      <c r="E2" s="59"/>
      <c r="F2" s="59"/>
      <c r="G2" s="59" t="s">
        <v>1244</v>
      </c>
      <c r="H2" s="59"/>
      <c r="I2" s="59"/>
      <c r="J2" s="59"/>
      <c r="K2" s="59"/>
      <c r="L2" s="59"/>
      <c r="M2" s="59"/>
      <c r="N2" s="59"/>
      <c r="O2" s="59"/>
      <c r="P2" s="59"/>
    </row>
    <row r="3" spans="1:16" ht="14.25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4" spans="1:16" ht="12.75" customHeight="1">
      <c r="A4" s="7" t="s">
        <v>23</v>
      </c>
      <c r="B4" s="8"/>
      <c r="C4"/>
      <c r="D4" s="7" t="s">
        <v>24</v>
      </c>
      <c r="E4" s="60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2.75" customHeight="1">
      <c r="A5" s="7" t="s">
        <v>25</v>
      </c>
      <c r="B5" s="10"/>
      <c r="C5"/>
      <c r="D5" s="32" t="s">
        <v>26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5" s="9" customFormat="1" ht="12.75" customHeight="1">
      <c r="A6" s="7" t="s">
        <v>4</v>
      </c>
      <c r="B6" s="8"/>
      <c r="C6"/>
      <c r="E6" s="8"/>
    </row>
    <row r="7" spans="1:16" ht="12.75" customHeight="1">
      <c r="A7" s="10" t="s">
        <v>5</v>
      </c>
      <c r="B7" s="11"/>
      <c r="C7"/>
      <c r="D7" s="9" t="s">
        <v>6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2.75" customHeight="1">
      <c r="A8" s="7" t="s">
        <v>7</v>
      </c>
      <c r="B8" s="10"/>
      <c r="C8"/>
      <c r="D8" s="51" t="s">
        <v>8</v>
      </c>
      <c r="F8" s="10"/>
      <c r="G8" s="10"/>
      <c r="H8" s="10"/>
      <c r="I8" s="61"/>
      <c r="J8" s="61"/>
      <c r="K8" s="62"/>
      <c r="L8" s="62"/>
      <c r="M8" s="61"/>
      <c r="N8" s="63"/>
      <c r="O8" s="63"/>
      <c r="P8" s="61"/>
    </row>
    <row r="9" spans="1:16" ht="12">
      <c r="A9" s="7" t="s">
        <v>9</v>
      </c>
      <c r="B9" s="8"/>
      <c r="C9"/>
      <c r="D9" s="7" t="s">
        <v>10</v>
      </c>
      <c r="E9" s="10"/>
      <c r="I9" s="7"/>
      <c r="J9" s="7"/>
      <c r="K9" s="7"/>
      <c r="L9" s="7"/>
      <c r="M9" s="7"/>
      <c r="N9" s="7"/>
      <c r="O9" s="7"/>
      <c r="P9" s="7"/>
    </row>
    <row r="10" spans="1:8" ht="12.75" customHeight="1">
      <c r="A10" s="7"/>
      <c r="B10" s="7"/>
      <c r="C10" s="7"/>
      <c r="D10" s="7"/>
      <c r="E10" s="7"/>
      <c r="F10" s="7"/>
      <c r="G10" s="7"/>
      <c r="H10" s="7"/>
    </row>
    <row r="11" spans="1:16" ht="15.75" customHeight="1">
      <c r="A11" s="39" t="s">
        <v>56</v>
      </c>
      <c r="B11" s="65" t="s">
        <v>57</v>
      </c>
      <c r="C11" s="66" t="s">
        <v>58</v>
      </c>
      <c r="D11" s="65" t="s">
        <v>59</v>
      </c>
      <c r="E11" s="65" t="s">
        <v>60</v>
      </c>
      <c r="F11" s="66" t="s">
        <v>61</v>
      </c>
      <c r="G11" s="66"/>
      <c r="H11" s="66"/>
      <c r="I11" s="66"/>
      <c r="J11" s="66"/>
      <c r="K11" s="66"/>
      <c r="L11" s="66" t="s">
        <v>62</v>
      </c>
      <c r="M11" s="66" t="s">
        <v>62</v>
      </c>
      <c r="N11" s="66"/>
      <c r="O11" s="66"/>
      <c r="P11" s="66"/>
    </row>
    <row r="12" spans="1:16" ht="59.25" customHeight="1">
      <c r="A12" s="39"/>
      <c r="B12" s="65"/>
      <c r="C12" s="66"/>
      <c r="D12" s="65"/>
      <c r="E12" s="65"/>
      <c r="F12" s="65" t="s">
        <v>63</v>
      </c>
      <c r="G12" s="65" t="s">
        <v>64</v>
      </c>
      <c r="H12" s="65" t="s">
        <v>65</v>
      </c>
      <c r="I12" s="65" t="s">
        <v>66</v>
      </c>
      <c r="J12" s="65" t="s">
        <v>67</v>
      </c>
      <c r="K12" s="65" t="s">
        <v>68</v>
      </c>
      <c r="L12" s="65" t="s">
        <v>49</v>
      </c>
      <c r="M12" s="65" t="s">
        <v>69</v>
      </c>
      <c r="N12" s="65" t="s">
        <v>70</v>
      </c>
      <c r="O12" s="65" t="s">
        <v>67</v>
      </c>
      <c r="P12" s="65" t="s">
        <v>71</v>
      </c>
    </row>
    <row r="13" spans="1:16" s="155" customFormat="1" ht="15" customHeight="1">
      <c r="A13" s="137">
        <v>1</v>
      </c>
      <c r="B13" s="137">
        <v>2</v>
      </c>
      <c r="C13" s="137">
        <v>3</v>
      </c>
      <c r="D13" s="137">
        <v>4</v>
      </c>
      <c r="E13" s="137">
        <v>5</v>
      </c>
      <c r="F13" s="137">
        <v>6</v>
      </c>
      <c r="G13" s="137">
        <v>7</v>
      </c>
      <c r="H13" s="137">
        <v>8</v>
      </c>
      <c r="I13" s="137">
        <v>9</v>
      </c>
      <c r="J13" s="137">
        <v>10</v>
      </c>
      <c r="K13" s="137">
        <v>11</v>
      </c>
      <c r="L13" s="137">
        <v>12</v>
      </c>
      <c r="M13" s="137">
        <v>13</v>
      </c>
      <c r="N13" s="137">
        <v>14</v>
      </c>
      <c r="O13" s="137">
        <v>15</v>
      </c>
      <c r="P13" s="137">
        <v>16</v>
      </c>
    </row>
    <row r="14" spans="1:16" s="61" customFormat="1" ht="17.25" customHeight="1">
      <c r="A14" s="68"/>
      <c r="B14" s="71"/>
      <c r="C14" s="70"/>
      <c r="D14" s="71"/>
      <c r="E14" s="330"/>
      <c r="F14" s="71"/>
      <c r="G14" s="72"/>
      <c r="H14" s="111"/>
      <c r="I14" s="111"/>
      <c r="J14" s="111"/>
      <c r="K14" s="111"/>
      <c r="L14" s="111"/>
      <c r="M14" s="111"/>
      <c r="N14" s="111"/>
      <c r="O14" s="111"/>
      <c r="P14" s="111"/>
    </row>
    <row r="15" spans="1:16" s="31" customFormat="1" ht="39.75" customHeight="1">
      <c r="A15" s="271" t="s">
        <v>1245</v>
      </c>
      <c r="B15" s="91"/>
      <c r="C15" s="79" t="s">
        <v>1246</v>
      </c>
      <c r="D15" s="91" t="s">
        <v>74</v>
      </c>
      <c r="E15" s="93">
        <v>34</v>
      </c>
      <c r="F15" s="91"/>
      <c r="G15" s="331"/>
      <c r="H15" s="331"/>
      <c r="I15" s="332"/>
      <c r="J15" s="331"/>
      <c r="K15" s="332"/>
      <c r="L15" s="332"/>
      <c r="M15" s="332"/>
      <c r="N15" s="332"/>
      <c r="O15" s="332"/>
      <c r="P15" s="332"/>
    </row>
    <row r="16" spans="1:16" s="31" customFormat="1" ht="39.75" customHeight="1">
      <c r="A16" s="271" t="s">
        <v>1247</v>
      </c>
      <c r="B16" s="91"/>
      <c r="C16" s="90" t="s">
        <v>1248</v>
      </c>
      <c r="D16" s="91" t="s">
        <v>77</v>
      </c>
      <c r="E16" s="174">
        <v>21</v>
      </c>
      <c r="F16" s="91"/>
      <c r="G16" s="331"/>
      <c r="H16" s="331"/>
      <c r="I16" s="332"/>
      <c r="J16" s="331"/>
      <c r="K16" s="332"/>
      <c r="L16" s="332"/>
      <c r="M16" s="332"/>
      <c r="N16" s="332"/>
      <c r="O16" s="332"/>
      <c r="P16" s="332"/>
    </row>
    <row r="17" spans="1:16" s="31" customFormat="1" ht="28.5" customHeight="1">
      <c r="A17" s="271" t="s">
        <v>1249</v>
      </c>
      <c r="B17" s="91"/>
      <c r="C17" s="90" t="s">
        <v>1250</v>
      </c>
      <c r="D17" s="37" t="s">
        <v>92</v>
      </c>
      <c r="E17" s="174">
        <v>40</v>
      </c>
      <c r="F17" s="91"/>
      <c r="G17" s="331"/>
      <c r="H17" s="331"/>
      <c r="I17" s="332"/>
      <c r="J17" s="331"/>
      <c r="K17" s="332"/>
      <c r="L17" s="332"/>
      <c r="M17" s="332"/>
      <c r="N17" s="332"/>
      <c r="O17" s="332"/>
      <c r="P17" s="332"/>
    </row>
    <row r="18" spans="1:16" s="31" customFormat="1" ht="26.25" customHeight="1">
      <c r="A18" s="271" t="s">
        <v>1251</v>
      </c>
      <c r="B18" s="91"/>
      <c r="C18" s="90" t="s">
        <v>1252</v>
      </c>
      <c r="D18" s="91" t="s">
        <v>74</v>
      </c>
      <c r="E18" s="174">
        <v>10</v>
      </c>
      <c r="F18" s="91"/>
      <c r="G18" s="331"/>
      <c r="H18" s="331"/>
      <c r="I18" s="332"/>
      <c r="J18" s="331"/>
      <c r="K18" s="332"/>
      <c r="L18" s="332"/>
      <c r="M18" s="332"/>
      <c r="N18" s="332"/>
      <c r="O18" s="332"/>
      <c r="P18" s="332"/>
    </row>
    <row r="19" spans="1:16" s="31" customFormat="1" ht="42" customHeight="1">
      <c r="A19" s="271" t="s">
        <v>1253</v>
      </c>
      <c r="B19" s="91"/>
      <c r="C19" s="148" t="s">
        <v>1254</v>
      </c>
      <c r="D19" s="37" t="s">
        <v>92</v>
      </c>
      <c r="E19" s="93">
        <v>31</v>
      </c>
      <c r="F19" s="91"/>
      <c r="G19" s="331"/>
      <c r="H19" s="331"/>
      <c r="I19" s="332"/>
      <c r="J19" s="331"/>
      <c r="K19" s="332"/>
      <c r="L19" s="332"/>
      <c r="M19" s="332"/>
      <c r="N19" s="332"/>
      <c r="O19" s="332"/>
      <c r="P19" s="332"/>
    </row>
    <row r="20" spans="1:16" s="31" customFormat="1" ht="29.25" customHeight="1">
      <c r="A20" s="271" t="s">
        <v>1255</v>
      </c>
      <c r="B20" s="91"/>
      <c r="C20" s="148" t="s">
        <v>1256</v>
      </c>
      <c r="D20" s="37" t="s">
        <v>1257</v>
      </c>
      <c r="E20" s="93">
        <v>3.62</v>
      </c>
      <c r="F20" s="331"/>
      <c r="G20" s="331"/>
      <c r="H20" s="331"/>
      <c r="I20" s="332"/>
      <c r="J20" s="331"/>
      <c r="K20" s="332"/>
      <c r="L20" s="332"/>
      <c r="M20" s="332"/>
      <c r="N20" s="332"/>
      <c r="O20" s="332"/>
      <c r="P20" s="332"/>
    </row>
    <row r="21" spans="1:16" s="31" customFormat="1" ht="18.75" customHeight="1">
      <c r="A21" s="271" t="s">
        <v>1258</v>
      </c>
      <c r="B21" s="91"/>
      <c r="C21" s="148" t="s">
        <v>1259</v>
      </c>
      <c r="D21" s="37" t="s">
        <v>74</v>
      </c>
      <c r="E21" s="93">
        <v>445</v>
      </c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1:16" s="31" customFormat="1" ht="19.5" customHeight="1">
      <c r="A22" s="271" t="s">
        <v>1260</v>
      </c>
      <c r="B22" s="91"/>
      <c r="C22" s="148" t="s">
        <v>1261</v>
      </c>
      <c r="D22" s="37" t="s">
        <v>92</v>
      </c>
      <c r="E22" s="93">
        <v>54</v>
      </c>
      <c r="F22" s="91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1:16" s="31" customFormat="1" ht="26.25" customHeight="1">
      <c r="A23" s="271" t="s">
        <v>1262</v>
      </c>
      <c r="B23" s="91"/>
      <c r="C23" s="148" t="s">
        <v>1263</v>
      </c>
      <c r="D23" s="37" t="s">
        <v>74</v>
      </c>
      <c r="E23" s="93">
        <v>450</v>
      </c>
      <c r="F23" s="91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1:16" s="31" customFormat="1" ht="14.25" customHeight="1">
      <c r="A24" s="271"/>
      <c r="B24" s="91"/>
      <c r="C24" s="209" t="s">
        <v>1264</v>
      </c>
      <c r="D24" s="39"/>
      <c r="E24" s="45"/>
      <c r="F24" s="91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1:16" s="31" customFormat="1" ht="14.25" customHeight="1">
      <c r="A25" s="271" t="s">
        <v>1265</v>
      </c>
      <c r="B25" s="91"/>
      <c r="C25" s="148" t="s">
        <v>1266</v>
      </c>
      <c r="D25" s="37" t="s">
        <v>74</v>
      </c>
      <c r="E25" s="93">
        <v>30</v>
      </c>
      <c r="F25" s="175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1:16" s="144" customFormat="1" ht="17.25" customHeight="1">
      <c r="A26" s="274" t="s">
        <v>1267</v>
      </c>
      <c r="B26" s="141"/>
      <c r="C26" s="116" t="s">
        <v>1268</v>
      </c>
      <c r="D26" s="169" t="s">
        <v>135</v>
      </c>
      <c r="E26" s="170">
        <f>E25*0.15</f>
        <v>4.5</v>
      </c>
      <c r="F26" s="145"/>
      <c r="G26" s="108"/>
      <c r="H26" s="108"/>
      <c r="I26" s="108"/>
      <c r="J26" s="108"/>
      <c r="K26" s="108"/>
      <c r="L26" s="108"/>
      <c r="M26" s="108"/>
      <c r="N26" s="108"/>
      <c r="O26" s="108"/>
      <c r="P26" s="108"/>
    </row>
    <row r="27" spans="1:16" s="31" customFormat="1" ht="17.25" customHeight="1">
      <c r="A27" s="271" t="s">
        <v>1269</v>
      </c>
      <c r="B27" s="91"/>
      <c r="C27" s="148" t="s">
        <v>1270</v>
      </c>
      <c r="D27" s="37" t="s">
        <v>74</v>
      </c>
      <c r="E27" s="93">
        <f>E25</f>
        <v>30</v>
      </c>
      <c r="F27" s="175"/>
      <c r="G27" s="78"/>
      <c r="H27" s="78"/>
      <c r="I27" s="78"/>
      <c r="J27" s="331"/>
      <c r="K27" s="78"/>
      <c r="L27" s="78"/>
      <c r="M27" s="78"/>
      <c r="N27" s="78"/>
      <c r="O27" s="78"/>
      <c r="P27" s="78"/>
    </row>
    <row r="28" spans="1:16" s="144" customFormat="1" ht="17.25" customHeight="1">
      <c r="A28" s="274" t="s">
        <v>1271</v>
      </c>
      <c r="B28" s="141"/>
      <c r="C28" s="116" t="s">
        <v>199</v>
      </c>
      <c r="D28" s="169" t="s">
        <v>135</v>
      </c>
      <c r="E28" s="170">
        <f>E27*0.08</f>
        <v>2.4</v>
      </c>
      <c r="F28" s="145"/>
      <c r="G28" s="108"/>
      <c r="H28" s="108"/>
      <c r="I28" s="108"/>
      <c r="J28" s="108"/>
      <c r="K28" s="108"/>
      <c r="L28" s="108"/>
      <c r="M28" s="108"/>
      <c r="N28" s="108"/>
      <c r="O28" s="108"/>
      <c r="P28" s="108"/>
    </row>
    <row r="29" spans="1:16" s="31" customFormat="1" ht="27.75" customHeight="1">
      <c r="A29" s="271" t="s">
        <v>1272</v>
      </c>
      <c r="B29" s="91"/>
      <c r="C29" s="297" t="s">
        <v>1273</v>
      </c>
      <c r="D29" s="37" t="s">
        <v>74</v>
      </c>
      <c r="E29" s="93">
        <v>3</v>
      </c>
      <c r="F29" s="175"/>
      <c r="G29" s="78"/>
      <c r="H29" s="78"/>
      <c r="I29" s="78"/>
      <c r="J29" s="331"/>
      <c r="K29" s="78"/>
      <c r="L29" s="78"/>
      <c r="M29" s="78"/>
      <c r="N29" s="78"/>
      <c r="O29" s="78"/>
      <c r="P29" s="78"/>
    </row>
    <row r="30" spans="1:16" s="31" customFormat="1" ht="27" customHeight="1">
      <c r="A30" s="271"/>
      <c r="B30" s="91"/>
      <c r="C30" s="209" t="s">
        <v>1274</v>
      </c>
      <c r="D30" s="39"/>
      <c r="E30" s="45"/>
      <c r="F30" s="91"/>
      <c r="G30" s="174"/>
      <c r="H30" s="175"/>
      <c r="I30" s="175"/>
      <c r="J30" s="175"/>
      <c r="K30" s="175"/>
      <c r="L30" s="175"/>
      <c r="M30" s="175"/>
      <c r="N30" s="175"/>
      <c r="O30" s="175"/>
      <c r="P30" s="175"/>
    </row>
    <row r="31" spans="1:16" s="31" customFormat="1" ht="28.5" customHeight="1">
      <c r="A31" s="271" t="s">
        <v>1275</v>
      </c>
      <c r="B31" s="91"/>
      <c r="C31" s="333" t="s">
        <v>1276</v>
      </c>
      <c r="D31" s="37" t="s">
        <v>77</v>
      </c>
      <c r="E31" s="93">
        <v>112</v>
      </c>
      <c r="F31" s="331"/>
      <c r="G31" s="331"/>
      <c r="H31" s="331"/>
      <c r="I31" s="332"/>
      <c r="J31" s="331"/>
      <c r="K31" s="332"/>
      <c r="L31" s="332"/>
      <c r="M31" s="332"/>
      <c r="N31" s="332"/>
      <c r="O31" s="332"/>
      <c r="P31" s="332"/>
    </row>
    <row r="32" spans="1:16" s="144" customFormat="1" ht="14.25" customHeight="1">
      <c r="A32" s="274" t="s">
        <v>1277</v>
      </c>
      <c r="B32" s="141"/>
      <c r="C32" s="334" t="s">
        <v>1278</v>
      </c>
      <c r="D32" s="169" t="s">
        <v>77</v>
      </c>
      <c r="E32" s="170">
        <f>E31</f>
        <v>112</v>
      </c>
      <c r="F32" s="335"/>
      <c r="G32" s="335"/>
      <c r="H32" s="335"/>
      <c r="I32" s="336"/>
      <c r="J32" s="335"/>
      <c r="K32" s="336"/>
      <c r="L32" s="336"/>
      <c r="M32" s="336"/>
      <c r="N32" s="336"/>
      <c r="O32" s="336"/>
      <c r="P32" s="336"/>
    </row>
    <row r="33" spans="1:16" s="144" customFormat="1" ht="14.25" customHeight="1">
      <c r="A33" s="274" t="s">
        <v>1279</v>
      </c>
      <c r="B33" s="141"/>
      <c r="C33" s="334" t="s">
        <v>199</v>
      </c>
      <c r="D33" s="169" t="s">
        <v>135</v>
      </c>
      <c r="E33" s="170">
        <f>E32*0.047</f>
        <v>5.264</v>
      </c>
      <c r="F33" s="335"/>
      <c r="G33" s="335"/>
      <c r="H33" s="335"/>
      <c r="I33" s="336"/>
      <c r="J33" s="335"/>
      <c r="K33" s="336"/>
      <c r="L33" s="336"/>
      <c r="M33" s="336"/>
      <c r="N33" s="336"/>
      <c r="O33" s="336"/>
      <c r="P33" s="336"/>
    </row>
    <row r="34" spans="1:16" s="31" customFormat="1" ht="14.25" customHeight="1">
      <c r="A34" s="271" t="s">
        <v>1280</v>
      </c>
      <c r="B34" s="91"/>
      <c r="C34" s="333" t="s">
        <v>1281</v>
      </c>
      <c r="D34" s="37" t="s">
        <v>74</v>
      </c>
      <c r="E34" s="93">
        <v>4</v>
      </c>
      <c r="F34" s="331"/>
      <c r="G34" s="331"/>
      <c r="H34" s="331"/>
      <c r="I34" s="332"/>
      <c r="J34" s="331"/>
      <c r="K34" s="332"/>
      <c r="L34" s="332"/>
      <c r="M34" s="332"/>
      <c r="N34" s="332"/>
      <c r="O34" s="332"/>
      <c r="P34" s="332"/>
    </row>
    <row r="35" spans="1:16" s="144" customFormat="1" ht="14.25" customHeight="1">
      <c r="A35" s="274" t="s">
        <v>1282</v>
      </c>
      <c r="B35" s="141"/>
      <c r="C35" s="334" t="s">
        <v>199</v>
      </c>
      <c r="D35" s="169" t="s">
        <v>135</v>
      </c>
      <c r="E35" s="170">
        <f>E34*0.1</f>
        <v>0.4</v>
      </c>
      <c r="F35" s="335"/>
      <c r="G35" s="335"/>
      <c r="H35" s="335"/>
      <c r="I35" s="336"/>
      <c r="J35" s="335"/>
      <c r="K35" s="336"/>
      <c r="L35" s="336"/>
      <c r="M35" s="336"/>
      <c r="N35" s="336"/>
      <c r="O35" s="336"/>
      <c r="P35" s="336"/>
    </row>
    <row r="36" spans="1:16" s="31" customFormat="1" ht="43.5" customHeight="1">
      <c r="A36" s="271" t="s">
        <v>1283</v>
      </c>
      <c r="B36" s="91"/>
      <c r="C36" s="333" t="s">
        <v>1284</v>
      </c>
      <c r="D36" s="37" t="s">
        <v>74</v>
      </c>
      <c r="E36" s="93">
        <f>ROUND(E42+E31*0.08,1)</f>
        <v>105</v>
      </c>
      <c r="F36" s="331"/>
      <c r="G36" s="331"/>
      <c r="H36" s="331"/>
      <c r="I36" s="332"/>
      <c r="J36" s="331"/>
      <c r="K36" s="332"/>
      <c r="L36" s="332"/>
      <c r="M36" s="332"/>
      <c r="N36" s="332"/>
      <c r="O36" s="332"/>
      <c r="P36" s="332"/>
    </row>
    <row r="37" spans="1:16" s="144" customFormat="1" ht="14.25" customHeight="1">
      <c r="A37" s="274" t="s">
        <v>1285</v>
      </c>
      <c r="B37" s="141"/>
      <c r="C37" s="334" t="s">
        <v>1286</v>
      </c>
      <c r="D37" s="169" t="s">
        <v>135</v>
      </c>
      <c r="E37" s="170">
        <f>ROUND(E36*0.25,1)</f>
        <v>26.3</v>
      </c>
      <c r="F37" s="335"/>
      <c r="G37" s="335"/>
      <c r="H37" s="335"/>
      <c r="I37" s="145"/>
      <c r="J37" s="145"/>
      <c r="K37" s="336"/>
      <c r="L37" s="336"/>
      <c r="M37" s="336"/>
      <c r="N37" s="336"/>
      <c r="O37" s="336"/>
      <c r="P37" s="336"/>
    </row>
    <row r="38" spans="1:16" s="31" customFormat="1" ht="31.5" customHeight="1">
      <c r="A38" s="271" t="s">
        <v>1287</v>
      </c>
      <c r="B38" s="91"/>
      <c r="C38" s="333" t="s">
        <v>1288</v>
      </c>
      <c r="D38" s="37" t="s">
        <v>74</v>
      </c>
      <c r="E38" s="93">
        <f>E36</f>
        <v>105</v>
      </c>
      <c r="F38" s="331"/>
      <c r="G38" s="331"/>
      <c r="H38" s="331"/>
      <c r="I38" s="332"/>
      <c r="J38" s="331"/>
      <c r="K38" s="332"/>
      <c r="L38" s="332"/>
      <c r="M38" s="332"/>
      <c r="N38" s="332"/>
      <c r="O38" s="332"/>
      <c r="P38" s="332"/>
    </row>
    <row r="39" spans="1:16" s="337" customFormat="1" ht="16.5" customHeight="1">
      <c r="A39" s="274" t="s">
        <v>1289</v>
      </c>
      <c r="B39" s="141"/>
      <c r="C39" s="334" t="s">
        <v>1290</v>
      </c>
      <c r="D39" s="169" t="s">
        <v>135</v>
      </c>
      <c r="E39" s="170">
        <f>ROUND(E38*0.12,1)</f>
        <v>12.6</v>
      </c>
      <c r="F39" s="335"/>
      <c r="G39" s="335"/>
      <c r="H39" s="335"/>
      <c r="I39" s="145"/>
      <c r="J39" s="145"/>
      <c r="K39" s="336"/>
      <c r="L39" s="336"/>
      <c r="M39" s="336"/>
      <c r="N39" s="336"/>
      <c r="O39" s="336"/>
      <c r="P39" s="336"/>
    </row>
    <row r="40" spans="1:16" s="31" customFormat="1" ht="30" customHeight="1">
      <c r="A40" s="271" t="s">
        <v>1291</v>
      </c>
      <c r="B40" s="91"/>
      <c r="C40" s="333" t="s">
        <v>1292</v>
      </c>
      <c r="D40" s="37" t="s">
        <v>74</v>
      </c>
      <c r="E40" s="93">
        <f>E42</f>
        <v>96</v>
      </c>
      <c r="F40" s="331"/>
      <c r="G40" s="331"/>
      <c r="H40" s="331"/>
      <c r="I40" s="332"/>
      <c r="J40" s="331"/>
      <c r="K40" s="332"/>
      <c r="L40" s="332"/>
      <c r="M40" s="332"/>
      <c r="N40" s="332"/>
      <c r="O40" s="332"/>
      <c r="P40" s="332"/>
    </row>
    <row r="41" spans="1:16" s="144" customFormat="1" ht="14.25" customHeight="1">
      <c r="A41" s="274" t="s">
        <v>1293</v>
      </c>
      <c r="B41" s="141"/>
      <c r="C41" s="334" t="s">
        <v>1286</v>
      </c>
      <c r="D41" s="169" t="s">
        <v>135</v>
      </c>
      <c r="E41" s="170">
        <f>ROUND(E40*0.03,0)</f>
        <v>3</v>
      </c>
      <c r="F41" s="335"/>
      <c r="G41" s="335"/>
      <c r="H41" s="335"/>
      <c r="I41" s="145"/>
      <c r="J41" s="145"/>
      <c r="K41" s="336"/>
      <c r="L41" s="336"/>
      <c r="M41" s="336"/>
      <c r="N41" s="336"/>
      <c r="O41" s="336"/>
      <c r="P41" s="336"/>
    </row>
    <row r="42" spans="1:16" s="31" customFormat="1" ht="29.25" customHeight="1">
      <c r="A42" s="271" t="s">
        <v>1294</v>
      </c>
      <c r="B42" s="91"/>
      <c r="C42" s="333" t="s">
        <v>1295</v>
      </c>
      <c r="D42" s="37" t="s">
        <v>74</v>
      </c>
      <c r="E42" s="93">
        <v>96</v>
      </c>
      <c r="F42" s="331"/>
      <c r="G42" s="331"/>
      <c r="H42" s="331"/>
      <c r="I42" s="332"/>
      <c r="J42" s="331"/>
      <c r="K42" s="332"/>
      <c r="L42" s="332"/>
      <c r="M42" s="332"/>
      <c r="N42" s="332"/>
      <c r="O42" s="332"/>
      <c r="P42" s="332"/>
    </row>
    <row r="43" spans="1:16" s="144" customFormat="1" ht="14.25" customHeight="1">
      <c r="A43" s="274" t="s">
        <v>1296</v>
      </c>
      <c r="B43" s="141"/>
      <c r="C43" s="334" t="s">
        <v>1297</v>
      </c>
      <c r="D43" s="169" t="s">
        <v>151</v>
      </c>
      <c r="E43" s="170">
        <f>E42</f>
        <v>96</v>
      </c>
      <c r="F43" s="335"/>
      <c r="G43" s="335"/>
      <c r="H43" s="335"/>
      <c r="I43" s="145"/>
      <c r="J43" s="145"/>
      <c r="K43" s="336"/>
      <c r="L43" s="336"/>
      <c r="M43" s="336"/>
      <c r="N43" s="336"/>
      <c r="O43" s="336"/>
      <c r="P43" s="336"/>
    </row>
    <row r="44" spans="1:16" s="31" customFormat="1" ht="14.25" customHeight="1">
      <c r="A44" s="271"/>
      <c r="B44" s="91"/>
      <c r="C44" s="209" t="s">
        <v>1298</v>
      </c>
      <c r="D44" s="39"/>
      <c r="E44" s="4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</row>
    <row r="45" spans="1:16" s="31" customFormat="1" ht="24.75" customHeight="1">
      <c r="A45" s="271" t="s">
        <v>1299</v>
      </c>
      <c r="B45" s="91"/>
      <c r="C45" s="333" t="s">
        <v>1300</v>
      </c>
      <c r="D45" s="37" t="s">
        <v>74</v>
      </c>
      <c r="E45" s="93">
        <v>95</v>
      </c>
      <c r="F45" s="331"/>
      <c r="G45" s="331"/>
      <c r="H45" s="331"/>
      <c r="I45" s="332"/>
      <c r="J45" s="331"/>
      <c r="K45" s="332"/>
      <c r="L45" s="332"/>
      <c r="M45" s="332"/>
      <c r="N45" s="332"/>
      <c r="O45" s="332"/>
      <c r="P45" s="332"/>
    </row>
    <row r="46" spans="1:16" s="144" customFormat="1" ht="14.25" customHeight="1">
      <c r="A46" s="274" t="s">
        <v>1301</v>
      </c>
      <c r="B46" s="141"/>
      <c r="C46" s="334" t="s">
        <v>1286</v>
      </c>
      <c r="D46" s="169" t="s">
        <v>135</v>
      </c>
      <c r="E46" s="170">
        <f>E45*0.25</f>
        <v>23.75</v>
      </c>
      <c r="F46" s="335"/>
      <c r="G46" s="335"/>
      <c r="H46" s="335"/>
      <c r="I46" s="145"/>
      <c r="J46" s="145"/>
      <c r="K46" s="336"/>
      <c r="L46" s="336"/>
      <c r="M46" s="336"/>
      <c r="N46" s="336"/>
      <c r="O46" s="336"/>
      <c r="P46" s="336"/>
    </row>
    <row r="47" spans="1:16" s="31" customFormat="1" ht="27.75" customHeight="1">
      <c r="A47" s="271" t="s">
        <v>1302</v>
      </c>
      <c r="B47" s="91"/>
      <c r="C47" s="333" t="s">
        <v>1303</v>
      </c>
      <c r="D47" s="37" t="s">
        <v>74</v>
      </c>
      <c r="E47" s="93">
        <f>E45</f>
        <v>95</v>
      </c>
      <c r="F47" s="331"/>
      <c r="G47" s="331"/>
      <c r="H47" s="331"/>
      <c r="I47" s="332"/>
      <c r="J47" s="331"/>
      <c r="K47" s="332"/>
      <c r="L47" s="332"/>
      <c r="M47" s="332"/>
      <c r="N47" s="332"/>
      <c r="O47" s="332"/>
      <c r="P47" s="332"/>
    </row>
    <row r="48" spans="1:16" s="144" customFormat="1" ht="19.5" customHeight="1">
      <c r="A48" s="274" t="s">
        <v>1304</v>
      </c>
      <c r="B48" s="141"/>
      <c r="C48" s="334" t="s">
        <v>1268</v>
      </c>
      <c r="D48" s="169" t="s">
        <v>135</v>
      </c>
      <c r="E48" s="170">
        <f>E47*0.18</f>
        <v>17.099999999999998</v>
      </c>
      <c r="F48" s="335"/>
      <c r="G48" s="335"/>
      <c r="H48" s="335"/>
      <c r="I48" s="145"/>
      <c r="J48" s="145"/>
      <c r="K48" s="336"/>
      <c r="L48" s="336"/>
      <c r="M48" s="336"/>
      <c r="N48" s="336"/>
      <c r="O48" s="336"/>
      <c r="P48" s="336"/>
    </row>
    <row r="49" spans="1:16" s="31" customFormat="1" ht="18.75" customHeight="1">
      <c r="A49" s="271"/>
      <c r="B49" s="91"/>
      <c r="C49" s="209" t="s">
        <v>1305</v>
      </c>
      <c r="D49" s="39"/>
      <c r="E49" s="4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</row>
    <row r="50" spans="1:16" s="31" customFormat="1" ht="30" customHeight="1">
      <c r="A50" s="271" t="s">
        <v>1306</v>
      </c>
      <c r="B50" s="91"/>
      <c r="C50" s="148" t="s">
        <v>1307</v>
      </c>
      <c r="D50" s="37" t="s">
        <v>74</v>
      </c>
      <c r="E50" s="93">
        <v>160</v>
      </c>
      <c r="F50" s="331"/>
      <c r="G50" s="331"/>
      <c r="H50" s="331"/>
      <c r="I50" s="332"/>
      <c r="J50" s="331"/>
      <c r="K50" s="332"/>
      <c r="L50" s="332"/>
      <c r="M50" s="332"/>
      <c r="N50" s="332"/>
      <c r="O50" s="332"/>
      <c r="P50" s="332"/>
    </row>
    <row r="51" spans="1:16" s="144" customFormat="1" ht="14.25" customHeight="1">
      <c r="A51" s="274" t="s">
        <v>1308</v>
      </c>
      <c r="B51" s="141"/>
      <c r="C51" s="116" t="s">
        <v>1309</v>
      </c>
      <c r="D51" s="169" t="s">
        <v>154</v>
      </c>
      <c r="E51" s="170">
        <f>E50*0.03</f>
        <v>4.8</v>
      </c>
      <c r="F51" s="335"/>
      <c r="G51" s="335"/>
      <c r="H51" s="335"/>
      <c r="I51" s="145"/>
      <c r="J51" s="145"/>
      <c r="K51" s="336"/>
      <c r="L51" s="336"/>
      <c r="M51" s="336"/>
      <c r="N51" s="336"/>
      <c r="O51" s="336"/>
      <c r="P51" s="336"/>
    </row>
    <row r="52" spans="1:16" s="144" customFormat="1" ht="14.25" customHeight="1">
      <c r="A52" s="274" t="s">
        <v>1310</v>
      </c>
      <c r="B52" s="141"/>
      <c r="C52" s="116" t="s">
        <v>1311</v>
      </c>
      <c r="D52" s="169" t="s">
        <v>135</v>
      </c>
      <c r="E52" s="170">
        <v>43</v>
      </c>
      <c r="F52" s="335"/>
      <c r="G52" s="335"/>
      <c r="H52" s="335"/>
      <c r="I52" s="145"/>
      <c r="J52" s="145"/>
      <c r="K52" s="336"/>
      <c r="L52" s="336"/>
      <c r="M52" s="336"/>
      <c r="N52" s="336"/>
      <c r="O52" s="336"/>
      <c r="P52" s="336"/>
    </row>
    <row r="53" spans="1:16" s="31" customFormat="1" ht="14.25" customHeight="1">
      <c r="A53" s="271"/>
      <c r="B53" s="91"/>
      <c r="C53" s="209" t="s">
        <v>1312</v>
      </c>
      <c r="D53" s="39"/>
      <c r="E53" s="45"/>
      <c r="F53" s="91"/>
      <c r="G53" s="174"/>
      <c r="H53" s="175"/>
      <c r="I53" s="175"/>
      <c r="J53" s="175"/>
      <c r="K53" s="175"/>
      <c r="L53" s="175"/>
      <c r="M53" s="175"/>
      <c r="N53" s="175"/>
      <c r="O53" s="175"/>
      <c r="P53" s="175"/>
    </row>
    <row r="54" spans="1:16" s="31" customFormat="1" ht="14.25" customHeight="1">
      <c r="A54" s="271" t="s">
        <v>1313</v>
      </c>
      <c r="B54" s="91"/>
      <c r="C54" s="148" t="s">
        <v>1314</v>
      </c>
      <c r="D54" s="37" t="s">
        <v>77</v>
      </c>
      <c r="E54" s="93">
        <v>28</v>
      </c>
      <c r="F54" s="331"/>
      <c r="G54" s="331"/>
      <c r="H54" s="331"/>
      <c r="I54" s="332"/>
      <c r="J54" s="331"/>
      <c r="K54" s="332"/>
      <c r="L54" s="332"/>
      <c r="M54" s="332"/>
      <c r="N54" s="332"/>
      <c r="O54" s="332"/>
      <c r="P54" s="332"/>
    </row>
    <row r="55" spans="1:16" s="144" customFormat="1" ht="30.75" customHeight="1">
      <c r="A55" s="274" t="s">
        <v>1315</v>
      </c>
      <c r="B55" s="141"/>
      <c r="C55" s="116" t="s">
        <v>1316</v>
      </c>
      <c r="D55" s="169" t="s">
        <v>77</v>
      </c>
      <c r="E55" s="170">
        <v>28</v>
      </c>
      <c r="F55" s="335"/>
      <c r="G55" s="335"/>
      <c r="H55" s="335"/>
      <c r="I55" s="145"/>
      <c r="J55" s="145"/>
      <c r="K55" s="336"/>
      <c r="L55" s="336"/>
      <c r="M55" s="336"/>
      <c r="N55" s="336"/>
      <c r="O55" s="336"/>
      <c r="P55" s="336"/>
    </row>
    <row r="56" spans="1:16" s="144" customFormat="1" ht="14.25" customHeight="1">
      <c r="A56" s="274" t="s">
        <v>1317</v>
      </c>
      <c r="B56" s="141"/>
      <c r="C56" s="116" t="s">
        <v>1318</v>
      </c>
      <c r="D56" s="169" t="s">
        <v>203</v>
      </c>
      <c r="E56" s="170">
        <v>15</v>
      </c>
      <c r="F56" s="335"/>
      <c r="G56" s="335"/>
      <c r="H56" s="335"/>
      <c r="I56" s="145"/>
      <c r="J56" s="145"/>
      <c r="K56" s="336"/>
      <c r="L56" s="336"/>
      <c r="M56" s="336"/>
      <c r="N56" s="336"/>
      <c r="O56" s="336"/>
      <c r="P56" s="336"/>
    </row>
    <row r="57" spans="1:16" s="144" customFormat="1" ht="14.25" customHeight="1">
      <c r="A57" s="274" t="s">
        <v>1319</v>
      </c>
      <c r="B57" s="141"/>
      <c r="C57" s="116" t="s">
        <v>1320</v>
      </c>
      <c r="D57" s="169" t="s">
        <v>203</v>
      </c>
      <c r="E57" s="170">
        <v>1</v>
      </c>
      <c r="F57" s="335"/>
      <c r="G57" s="335"/>
      <c r="H57" s="335"/>
      <c r="I57" s="145"/>
      <c r="J57" s="145"/>
      <c r="K57" s="336"/>
      <c r="L57" s="336"/>
      <c r="M57" s="336"/>
      <c r="N57" s="336"/>
      <c r="O57" s="336"/>
      <c r="P57" s="336"/>
    </row>
    <row r="58" spans="1:16" s="144" customFormat="1" ht="14.25" customHeight="1">
      <c r="A58" s="274" t="s">
        <v>1321</v>
      </c>
      <c r="B58" s="141"/>
      <c r="C58" s="116" t="s">
        <v>1322</v>
      </c>
      <c r="D58" s="169" t="s">
        <v>203</v>
      </c>
      <c r="E58" s="170">
        <v>1</v>
      </c>
      <c r="F58" s="335"/>
      <c r="G58" s="335"/>
      <c r="H58" s="335"/>
      <c r="I58" s="145"/>
      <c r="J58" s="145"/>
      <c r="K58" s="336"/>
      <c r="L58" s="336"/>
      <c r="M58" s="336"/>
      <c r="N58" s="336"/>
      <c r="O58" s="336"/>
      <c r="P58" s="336"/>
    </row>
    <row r="59" spans="1:16" s="144" customFormat="1" ht="14.25" customHeight="1">
      <c r="A59" s="274" t="s">
        <v>1323</v>
      </c>
      <c r="B59" s="141"/>
      <c r="C59" s="116" t="s">
        <v>199</v>
      </c>
      <c r="D59" s="169" t="s">
        <v>135</v>
      </c>
      <c r="E59" s="170">
        <f>(E56)*0.07</f>
        <v>1.05</v>
      </c>
      <c r="F59" s="335"/>
      <c r="G59" s="335"/>
      <c r="H59" s="335"/>
      <c r="I59" s="145"/>
      <c r="J59" s="145"/>
      <c r="K59" s="336"/>
      <c r="L59" s="336"/>
      <c r="M59" s="336"/>
      <c r="N59" s="336"/>
      <c r="O59" s="336"/>
      <c r="P59" s="336"/>
    </row>
    <row r="60" spans="1:16" s="109" customFormat="1" ht="12.75" customHeight="1">
      <c r="A60" s="130"/>
      <c r="B60" s="130"/>
      <c r="C60" s="338"/>
      <c r="D60" s="131"/>
      <c r="E60" s="215"/>
      <c r="F60" s="131"/>
      <c r="G60" s="339"/>
      <c r="H60" s="134"/>
      <c r="I60" s="134"/>
      <c r="J60" s="134"/>
      <c r="K60" s="134"/>
      <c r="L60" s="134"/>
      <c r="M60" s="134"/>
      <c r="N60" s="134"/>
      <c r="O60" s="134"/>
      <c r="P60" s="134"/>
    </row>
    <row r="61" spans="1:4" s="343" customFormat="1" ht="12">
      <c r="A61" s="340" t="s">
        <v>1324</v>
      </c>
      <c r="B61" s="341"/>
      <c r="C61" s="7"/>
      <c r="D61" s="342"/>
    </row>
    <row r="62" spans="1:4" s="343" customFormat="1" ht="12">
      <c r="A62" s="344" t="s">
        <v>1325</v>
      </c>
      <c r="B62" s="341"/>
      <c r="C62" s="7"/>
      <c r="D62" s="342"/>
    </row>
    <row r="63" spans="1:4" s="343" customFormat="1" ht="12">
      <c r="A63" s="344" t="s">
        <v>1326</v>
      </c>
      <c r="B63" s="341"/>
      <c r="C63" s="7"/>
      <c r="D63" s="342"/>
    </row>
    <row r="64" spans="1:4" s="343" customFormat="1" ht="12">
      <c r="A64" s="344" t="s">
        <v>1327</v>
      </c>
      <c r="B64" s="341"/>
      <c r="C64" s="7"/>
      <c r="D64" s="342"/>
    </row>
    <row r="65" spans="1:4" s="343" customFormat="1" ht="12">
      <c r="A65" s="344" t="s">
        <v>1328</v>
      </c>
      <c r="B65" s="341"/>
      <c r="C65" s="7"/>
      <c r="D65" s="342"/>
    </row>
    <row r="66" spans="1:4" s="343" customFormat="1" ht="12">
      <c r="A66" s="344" t="s">
        <v>1329</v>
      </c>
      <c r="B66" s="341"/>
      <c r="C66" s="7"/>
      <c r="D66" s="342"/>
    </row>
    <row r="67" spans="1:4" s="343" customFormat="1" ht="12">
      <c r="A67" s="344" t="s">
        <v>1330</v>
      </c>
      <c r="B67" s="341"/>
      <c r="C67" s="7"/>
      <c r="D67" s="342"/>
    </row>
    <row r="68" spans="1:4" s="343" customFormat="1" ht="12">
      <c r="A68" s="344" t="s">
        <v>1331</v>
      </c>
      <c r="B68" s="341"/>
      <c r="C68" s="7"/>
      <c r="D68" s="342"/>
    </row>
    <row r="69" spans="1:4" s="343" customFormat="1" ht="12">
      <c r="A69" s="344" t="s">
        <v>1332</v>
      </c>
      <c r="B69" s="341"/>
      <c r="C69" s="7"/>
      <c r="D69" s="342"/>
    </row>
    <row r="70" spans="1:4" s="343" customFormat="1" ht="12">
      <c r="A70" s="344" t="s">
        <v>1333</v>
      </c>
      <c r="B70" s="341"/>
      <c r="C70" s="7"/>
      <c r="D70" s="342"/>
    </row>
    <row r="71" spans="1:4" s="343" customFormat="1" ht="12">
      <c r="A71" s="344" t="s">
        <v>1334</v>
      </c>
      <c r="B71" s="341"/>
      <c r="C71" s="7"/>
      <c r="D71" s="342"/>
    </row>
  </sheetData>
  <mergeCells count="10">
    <mergeCell ref="N8:O8"/>
    <mergeCell ref="I9:P9"/>
    <mergeCell ref="A10:H10"/>
    <mergeCell ref="A11:A12"/>
    <mergeCell ref="B11:B12"/>
    <mergeCell ref="C11:C12"/>
    <mergeCell ref="D11:D12"/>
    <mergeCell ref="E11:E12"/>
    <mergeCell ref="F11:K11"/>
    <mergeCell ref="L11:P11"/>
  </mergeCells>
  <printOptions horizontalCentered="1"/>
  <pageMargins left="0.39375" right="0.39375" top="0.9840277777777777" bottom="0.5902777777777778" header="0.5118055555555555" footer="0.19652777777777777"/>
  <pageSetup horizontalDpi="300" verticalDpi="300" orientation="landscape" paperSize="9" scale="85"/>
  <headerFooter alignWithMargins="0">
    <oddFooter>&amp;CPage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O43"/>
  <sheetViews>
    <sheetView tabSelected="1" zoomScaleSheetLayoutView="140" workbookViewId="0" topLeftCell="A22">
      <selection activeCell="F37" sqref="F37"/>
    </sheetView>
  </sheetViews>
  <sheetFormatPr defaultColWidth="9.140625" defaultRowHeight="12.75"/>
  <cols>
    <col min="1" max="1" width="5.421875" style="29" customWidth="1"/>
    <col min="2" max="2" width="11.57421875" style="11" customWidth="1"/>
    <col min="3" max="3" width="25.7109375" style="11" customWidth="1"/>
    <col min="4" max="4" width="15.00390625" style="11" customWidth="1"/>
    <col min="5" max="7" width="12.8515625" style="11" customWidth="1"/>
    <col min="8" max="8" width="10.421875" style="11" customWidth="1"/>
    <col min="9" max="11" width="9.140625" style="11" customWidth="1"/>
    <col min="12" max="12" width="10.140625" style="11" customWidth="1"/>
    <col min="13" max="16384" width="9.140625" style="11" customWidth="1"/>
  </cols>
  <sheetData>
    <row r="3" spans="1:8" ht="12.75" customHeight="1">
      <c r="A3" s="30" t="s">
        <v>22</v>
      </c>
      <c r="B3" s="30"/>
      <c r="C3" s="30"/>
      <c r="D3" s="30"/>
      <c r="E3" s="30"/>
      <c r="F3" s="30"/>
      <c r="G3" s="30"/>
      <c r="H3" s="30"/>
    </row>
    <row r="4" spans="1:14" ht="12">
      <c r="A4"/>
      <c r="B4"/>
      <c r="C4"/>
      <c r="D4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5" ht="12">
      <c r="A5" s="7" t="s">
        <v>23</v>
      </c>
      <c r="B5" s="8"/>
      <c r="C5" s="7" t="s">
        <v>24</v>
      </c>
      <c r="D5"/>
      <c r="E5" s="10"/>
    </row>
    <row r="6" spans="1:8" ht="12">
      <c r="A6" s="7" t="s">
        <v>25</v>
      </c>
      <c r="B6" s="10"/>
      <c r="C6" s="32" t="s">
        <v>26</v>
      </c>
      <c r="D6"/>
      <c r="E6" s="8"/>
      <c r="F6" s="8"/>
      <c r="G6" s="8"/>
      <c r="H6" s="8"/>
    </row>
    <row r="7" spans="1:8" ht="12.75" customHeight="1">
      <c r="A7" s="7" t="s">
        <v>4</v>
      </c>
      <c r="B7" s="8"/>
      <c r="C7" s="9"/>
      <c r="D7"/>
      <c r="E7" s="8"/>
      <c r="F7" s="8"/>
      <c r="G7" s="8"/>
      <c r="H7" s="8"/>
    </row>
    <row r="8" spans="1:15" ht="12.75" customHeight="1">
      <c r="A8" s="10" t="s">
        <v>5</v>
      </c>
      <c r="C8" s="9" t="s">
        <v>6</v>
      </c>
      <c r="E8" s="10"/>
      <c r="F8" s="10"/>
      <c r="G8" s="10"/>
      <c r="H8" s="10"/>
      <c r="I8" s="9"/>
      <c r="J8" s="9"/>
      <c r="K8" s="9"/>
      <c r="L8" s="9"/>
      <c r="M8" s="9"/>
      <c r="N8" s="9"/>
      <c r="O8" s="9"/>
    </row>
    <row r="9" spans="1:15" ht="12.75" customHeight="1">
      <c r="A9" s="7" t="s">
        <v>7</v>
      </c>
      <c r="B9" s="10"/>
      <c r="C9" s="7" t="s">
        <v>8</v>
      </c>
      <c r="D9" s="8"/>
      <c r="E9"/>
      <c r="F9" s="10"/>
      <c r="G9" s="10"/>
      <c r="H9" s="10"/>
      <c r="I9" s="9"/>
      <c r="J9" s="9"/>
      <c r="K9" s="9"/>
      <c r="L9" s="9"/>
      <c r="M9" s="9"/>
      <c r="N9" s="9"/>
      <c r="O9" s="9"/>
    </row>
    <row r="10" spans="1:12" ht="12.75" customHeight="1">
      <c r="A10" s="7" t="s">
        <v>9</v>
      </c>
      <c r="B10" s="8"/>
      <c r="C10" s="7" t="s">
        <v>10</v>
      </c>
      <c r="D10" s="8"/>
      <c r="E10" s="9"/>
      <c r="F10" s="9"/>
      <c r="G10" s="9"/>
      <c r="H10" s="9"/>
      <c r="I10" s="9"/>
      <c r="J10" s="9"/>
      <c r="K10" s="9"/>
      <c r="L10" s="9"/>
    </row>
    <row r="11" spans="4:8" ht="7.5" customHeight="1">
      <c r="D11" s="33"/>
      <c r="E11" s="33"/>
      <c r="F11" s="34"/>
      <c r="G11" s="34"/>
      <c r="H11" s="34"/>
    </row>
    <row r="12" spans="1:8" ht="12.75" customHeight="1">
      <c r="A12" s="35" t="s">
        <v>27</v>
      </c>
      <c r="B12" s="35" t="s">
        <v>28</v>
      </c>
      <c r="C12" s="35" t="s">
        <v>29</v>
      </c>
      <c r="D12" s="36" t="s">
        <v>30</v>
      </c>
      <c r="E12" s="37" t="s">
        <v>31</v>
      </c>
      <c r="F12" s="37"/>
      <c r="G12" s="37"/>
      <c r="H12" s="36" t="s">
        <v>32</v>
      </c>
    </row>
    <row r="13" spans="1:8" ht="12.75" customHeight="1">
      <c r="A13" s="35"/>
      <c r="B13" s="35"/>
      <c r="C13" s="35"/>
      <c r="D13" s="35"/>
      <c r="E13" s="36" t="s">
        <v>33</v>
      </c>
      <c r="F13" s="36" t="s">
        <v>34</v>
      </c>
      <c r="G13" s="36" t="s">
        <v>35</v>
      </c>
      <c r="H13" s="36"/>
    </row>
    <row r="14" spans="1:8" ht="12">
      <c r="A14" s="35"/>
      <c r="B14" s="35"/>
      <c r="C14" s="35"/>
      <c r="D14" s="35"/>
      <c r="E14" s="35"/>
      <c r="F14" s="35"/>
      <c r="G14" s="35"/>
      <c r="H14" s="35"/>
    </row>
    <row r="15" spans="1:8" ht="12">
      <c r="A15" s="35"/>
      <c r="B15" s="35"/>
      <c r="C15" s="35"/>
      <c r="D15" s="35"/>
      <c r="E15" s="35"/>
      <c r="F15" s="35"/>
      <c r="G15" s="35"/>
      <c r="H15" s="35"/>
    </row>
    <row r="16" spans="1:8" ht="15.75" customHeight="1">
      <c r="A16" s="38" t="s">
        <v>36</v>
      </c>
      <c r="B16" s="38"/>
      <c r="C16" s="38"/>
      <c r="D16" s="38"/>
      <c r="E16" s="38"/>
      <c r="F16" s="38"/>
      <c r="G16" s="38"/>
      <c r="H16" s="38"/>
    </row>
    <row r="17" spans="1:8" ht="18.75" customHeight="1">
      <c r="A17" s="39">
        <v>1</v>
      </c>
      <c r="B17" s="39" t="str">
        <f>'1_Demontāžas darbi'!G1</f>
        <v>BA-1/3/2010</v>
      </c>
      <c r="C17" s="40" t="str">
        <f>'1_Demontāžas darbi'!G2</f>
        <v>Demontāžas darbi</v>
      </c>
      <c r="D17" s="41"/>
      <c r="E17" s="41"/>
      <c r="F17" s="41"/>
      <c r="G17" s="41"/>
      <c r="H17" s="41"/>
    </row>
    <row r="18" spans="1:8" ht="30.75" customHeight="1">
      <c r="A18" s="39">
        <v>2</v>
      </c>
      <c r="B18" s="39" t="str">
        <f>'2_ Zemes darbi'!G1</f>
        <v>BA-2/3/2010</v>
      </c>
      <c r="C18" s="40" t="str">
        <f>'2_ Zemes darbi'!G2</f>
        <v> Būvlaukuma sagatavošanas un zemes darbi</v>
      </c>
      <c r="D18" s="41"/>
      <c r="E18" s="41"/>
      <c r="F18" s="41"/>
      <c r="G18" s="41"/>
      <c r="H18" s="41"/>
    </row>
    <row r="19" spans="1:8" ht="27" customHeight="1">
      <c r="A19" s="39">
        <v>3</v>
      </c>
      <c r="B19" s="42" t="str">
        <f>'3_Betona, dz.betona, tērauda k.'!G1</f>
        <v>BA-3/3/2010</v>
      </c>
      <c r="C19" s="40" t="str">
        <f>'3_Betona, dz.betona, tērauda k.'!G2</f>
        <v>Betona ,dzelzbetona un tērauda konstrukcijas</v>
      </c>
      <c r="D19" s="41"/>
      <c r="E19" s="41"/>
      <c r="F19" s="41"/>
      <c r="G19" s="41"/>
      <c r="H19" s="41"/>
    </row>
    <row r="20" spans="1:8" ht="17.25" customHeight="1">
      <c r="A20" s="39">
        <v>4</v>
      </c>
      <c r="B20" s="42" t="str">
        <f>'4_Mūrnieku darbi'!G1</f>
        <v>BA-4/3/2010</v>
      </c>
      <c r="C20" s="40" t="str">
        <f>'4_Mūrnieku darbi'!G2</f>
        <v>Mūrnieku darbi</v>
      </c>
      <c r="D20" s="41"/>
      <c r="E20" s="41"/>
      <c r="F20" s="41"/>
      <c r="G20" s="41"/>
      <c r="H20" s="41"/>
    </row>
    <row r="21" spans="1:8" ht="17.25" customHeight="1">
      <c r="A21" s="39">
        <v>5</v>
      </c>
      <c r="B21" s="39" t="str">
        <f>'5_Namdaru darbi'!G1</f>
        <v>BA-5/3/2010</v>
      </c>
      <c r="C21" s="40" t="str">
        <f>'5_Namdaru darbi'!G2</f>
        <v>Namdaru darbi</v>
      </c>
      <c r="D21" s="41"/>
      <c r="E21" s="41"/>
      <c r="F21" s="41"/>
      <c r="G21" s="41"/>
      <c r="H21" s="41"/>
    </row>
    <row r="22" spans="1:8" ht="17.25" customHeight="1">
      <c r="A22" s="39">
        <v>6</v>
      </c>
      <c r="B22" s="39" t="str">
        <f>'6_Logi, durvis'!G1</f>
        <v>BA-6/3/2010</v>
      </c>
      <c r="C22" s="40" t="str">
        <f>'6_Logi, durvis'!G2</f>
        <v>Durvis </v>
      </c>
      <c r="D22" s="41"/>
      <c r="E22" s="41"/>
      <c r="F22" s="41"/>
      <c r="G22" s="41"/>
      <c r="H22" s="41"/>
    </row>
    <row r="23" spans="1:12" ht="28.5" customHeight="1">
      <c r="A23" s="39">
        <v>7</v>
      </c>
      <c r="B23" s="39" t="str">
        <f>'7_Iekšējie apdares darbi'!G1</f>
        <v>BA-7/3/2010</v>
      </c>
      <c r="C23" s="40" t="str">
        <f>'7_Iekšējie apdares darbi'!G2</f>
        <v>Iekšējie apdares darbi 2.stāvs</v>
      </c>
      <c r="D23" s="41"/>
      <c r="E23" s="41"/>
      <c r="F23" s="41"/>
      <c r="G23" s="41"/>
      <c r="H23" s="41"/>
      <c r="L23" s="43"/>
    </row>
    <row r="24" spans="1:12" ht="22.5" customHeight="1">
      <c r="A24" s="39">
        <v>8</v>
      </c>
      <c r="B24" s="39" t="str">
        <f>8_EL!G1</f>
        <v>BA-8/3/2010</v>
      </c>
      <c r="C24" s="40" t="str">
        <f>8_EL!G2</f>
        <v>Iekšējā elektroapgāde</v>
      </c>
      <c r="D24" s="41"/>
      <c r="E24" s="41"/>
      <c r="F24" s="41"/>
      <c r="G24" s="41"/>
      <c r="H24" s="41"/>
      <c r="L24" s="43"/>
    </row>
    <row r="25" spans="1:12" ht="20.25" customHeight="1">
      <c r="A25" s="39">
        <v>9</v>
      </c>
      <c r="B25" s="39" t="str">
        <f>'9_Iekšējais ūdensvads'!G1</f>
        <v>BA-9/3/2010</v>
      </c>
      <c r="C25" s="40" t="str">
        <f>'9_Iekšējais ūdensvads'!G2</f>
        <v>Iekšējais ūdensvads 2 stāvs</v>
      </c>
      <c r="D25" s="41"/>
      <c r="E25" s="41"/>
      <c r="F25" s="41"/>
      <c r="G25" s="41"/>
      <c r="H25" s="41"/>
      <c r="L25" s="43"/>
    </row>
    <row r="26" spans="1:12" ht="21.75" customHeight="1">
      <c r="A26" s="39">
        <v>10</v>
      </c>
      <c r="B26" s="39" t="str">
        <f>'10_Iekšējā kanalizācija'!G1</f>
        <v>BA-10/3/2010</v>
      </c>
      <c r="C26" s="40" t="str">
        <f>'10_Iekšējā kanalizācija'!G2</f>
        <v>Iekšējā kanalizācija 2 stāvs</v>
      </c>
      <c r="D26" s="41"/>
      <c r="E26" s="41"/>
      <c r="F26" s="41"/>
      <c r="G26" s="41"/>
      <c r="H26" s="41"/>
      <c r="L26" s="43"/>
    </row>
    <row r="27" spans="1:12" ht="32.25" customHeight="1">
      <c r="A27" s="39">
        <v>11</v>
      </c>
      <c r="B27" s="39" t="str">
        <f>'11_UAS'!G1</f>
        <v>BA-11/3/2010</v>
      </c>
      <c r="C27" s="40" t="str">
        <f>'11_UAS'!G2</f>
        <v>Ugunsgrēka atklāšanas un trauksmes iekārtas 2.stāvs</v>
      </c>
      <c r="D27" s="41"/>
      <c r="E27" s="41"/>
      <c r="F27" s="41"/>
      <c r="G27" s="41"/>
      <c r="H27" s="41"/>
      <c r="L27" s="43"/>
    </row>
    <row r="28" spans="1:12" ht="24">
      <c r="A28" s="39">
        <v>12</v>
      </c>
      <c r="B28" s="39" t="str">
        <f>'12_Vēdināšana II stāvs'!G1</f>
        <v>BA-12/3/2010</v>
      </c>
      <c r="C28" s="40" t="str">
        <f>'12_Vēdināšana II stāvs'!G2</f>
        <v>Vēdināšana 2.Stāvs</v>
      </c>
      <c r="D28" s="41"/>
      <c r="E28" s="41"/>
      <c r="F28" s="41"/>
      <c r="G28" s="41"/>
      <c r="H28" s="41"/>
      <c r="L28" s="43"/>
    </row>
    <row r="29" spans="1:12" ht="24">
      <c r="A29" s="39">
        <v>13</v>
      </c>
      <c r="B29" s="39" t="str">
        <f>'13_Apkure II st.'!G1</f>
        <v>BA-13/3/2010</v>
      </c>
      <c r="C29" s="40" t="str">
        <f>'13_Apkure II st.'!G2</f>
        <v>Apkure 2.stāvs</v>
      </c>
      <c r="D29" s="41"/>
      <c r="E29" s="41"/>
      <c r="F29" s="41"/>
      <c r="G29" s="41"/>
      <c r="H29" s="41"/>
      <c r="L29" s="43"/>
    </row>
    <row r="30" spans="1:12" ht="24">
      <c r="A30" s="39">
        <v>14</v>
      </c>
      <c r="B30" s="39" t="str">
        <f>'14_Siltummezgls I kārta'!G1</f>
        <v>BA-14/3/2010</v>
      </c>
      <c r="C30" s="40" t="str">
        <f>'14_Siltummezgls I kārta'!G2</f>
        <v>Siltummezgls I kārta</v>
      </c>
      <c r="D30" s="41"/>
      <c r="E30" s="41"/>
      <c r="F30" s="41"/>
      <c r="G30" s="41"/>
      <c r="H30" s="41"/>
      <c r="L30" s="43"/>
    </row>
    <row r="31" spans="1:12" ht="24">
      <c r="A31" s="39">
        <v>15</v>
      </c>
      <c r="B31" s="39" t="str">
        <f>'15_Iekārtas'!G1</f>
        <v>BA-15/3/2010</v>
      </c>
      <c r="C31" s="40" t="str">
        <f>'15_Iekārtas'!G2</f>
        <v>Iekārtas</v>
      </c>
      <c r="D31" s="41"/>
      <c r="E31" s="41"/>
      <c r="F31" s="41"/>
      <c r="G31" s="41"/>
      <c r="H31" s="41"/>
      <c r="L31" s="43"/>
    </row>
    <row r="32" spans="1:8" ht="12">
      <c r="A32" s="44" t="s">
        <v>37</v>
      </c>
      <c r="B32" s="44"/>
      <c r="C32" s="44"/>
      <c r="D32" s="45"/>
      <c r="E32" s="45"/>
      <c r="F32" s="45"/>
      <c r="G32" s="45"/>
      <c r="H32" s="45"/>
    </row>
    <row r="33" spans="1:8" ht="12">
      <c r="A33" s="44" t="s">
        <v>38</v>
      </c>
      <c r="B33" s="44"/>
      <c r="C33" s="44"/>
      <c r="D33" s="45"/>
      <c r="E33" s="46"/>
      <c r="F33" s="46"/>
      <c r="G33" s="46"/>
      <c r="H33" s="46"/>
    </row>
    <row r="34" spans="1:8" ht="12">
      <c r="A34" s="47" t="s">
        <v>39</v>
      </c>
      <c r="B34" s="47"/>
      <c r="C34" s="47"/>
      <c r="D34" s="45"/>
      <c r="E34" s="46"/>
      <c r="F34" s="46"/>
      <c r="G34" s="46"/>
      <c r="H34" s="46"/>
    </row>
    <row r="35" spans="1:8" ht="12">
      <c r="A35" s="44" t="s">
        <v>40</v>
      </c>
      <c r="B35" s="44"/>
      <c r="C35" s="44"/>
      <c r="D35" s="45"/>
      <c r="E35" s="46"/>
      <c r="F35" s="46"/>
      <c r="G35" s="46"/>
      <c r="H35" s="46"/>
    </row>
    <row r="36" spans="1:8" ht="12">
      <c r="A36" s="44" t="s">
        <v>41</v>
      </c>
      <c r="B36" s="44"/>
      <c r="C36" s="44"/>
      <c r="D36" s="45"/>
      <c r="E36" s="46"/>
      <c r="F36" s="46"/>
      <c r="G36" s="46"/>
      <c r="H36" s="46"/>
    </row>
    <row r="37" spans="1:8" ht="12">
      <c r="A37" s="44" t="s">
        <v>42</v>
      </c>
      <c r="B37" s="44"/>
      <c r="C37" s="44"/>
      <c r="D37" s="45"/>
      <c r="E37" s="46"/>
      <c r="F37" s="46"/>
      <c r="G37" s="46"/>
      <c r="H37" s="46"/>
    </row>
    <row r="38" spans="1:8" ht="12">
      <c r="A38" s="48"/>
      <c r="B38"/>
      <c r="C38"/>
      <c r="D38"/>
      <c r="E38"/>
      <c r="F38"/>
      <c r="G38"/>
      <c r="H38"/>
    </row>
    <row r="39" spans="1:8" ht="13.5">
      <c r="A39" s="49" t="s">
        <v>43</v>
      </c>
      <c r="B39" s="22"/>
      <c r="C39" s="22" t="s">
        <v>44</v>
      </c>
      <c r="D39" s="22"/>
      <c r="E39" s="23"/>
      <c r="F39" s="23"/>
      <c r="G39" s="23"/>
      <c r="H39"/>
    </row>
    <row r="40" spans="1:8" ht="14.25">
      <c r="A40" s="48"/>
      <c r="B40"/>
      <c r="C40" s="24" t="s">
        <v>20</v>
      </c>
      <c r="D40"/>
      <c r="E40" s="22"/>
      <c r="F40" s="22"/>
      <c r="G40" s="22"/>
      <c r="H40"/>
    </row>
    <row r="41" spans="1:8" ht="14.25">
      <c r="A41" s="48"/>
      <c r="B41"/>
      <c r="C41" s="24"/>
      <c r="D41"/>
      <c r="E41"/>
      <c r="F41"/>
      <c r="G41"/>
      <c r="H41"/>
    </row>
    <row r="42" spans="1:8" ht="14.25">
      <c r="A42" s="50" t="s">
        <v>45</v>
      </c>
      <c r="B42" s="25"/>
      <c r="C42" s="24" t="s">
        <v>44</v>
      </c>
      <c r="D42" s="25" t="s">
        <v>46</v>
      </c>
      <c r="E42" s="25" t="s">
        <v>47</v>
      </c>
      <c r="F42" s="27"/>
      <c r="G42" s="27"/>
      <c r="H42"/>
    </row>
    <row r="43" spans="1:8" ht="14.25">
      <c r="A43" s="48"/>
      <c r="B43"/>
      <c r="C43" s="24" t="s">
        <v>20</v>
      </c>
      <c r="D43"/>
      <c r="E43" s="25"/>
      <c r="F43" s="25"/>
      <c r="G43" s="25"/>
      <c r="H43"/>
    </row>
  </sheetData>
  <mergeCells count="18">
    <mergeCell ref="A3:H3"/>
    <mergeCell ref="A12:A15"/>
    <mergeCell ref="B12:B15"/>
    <mergeCell ref="C12:C15"/>
    <mergeCell ref="D12:D15"/>
    <mergeCell ref="E12:G12"/>
    <mergeCell ref="H12:H15"/>
    <mergeCell ref="E13:E15"/>
    <mergeCell ref="F13:F15"/>
    <mergeCell ref="G13:G15"/>
    <mergeCell ref="A16:H16"/>
    <mergeCell ref="A32:C32"/>
    <mergeCell ref="A33:C33"/>
    <mergeCell ref="A34:C34"/>
    <mergeCell ref="A35:C35"/>
    <mergeCell ref="A36:C36"/>
    <mergeCell ref="A37:C37"/>
    <mergeCell ref="E39:G39"/>
  </mergeCells>
  <printOptions horizontalCentered="1"/>
  <pageMargins left="0.39375" right="0.39375" top="0.7875" bottom="0.5902777777777778" header="0.5118055555555555" footer="0.19652777777777777"/>
  <pageSetup horizontalDpi="300" verticalDpi="300" orientation="portrait" paperSize="9" scale="85"/>
  <headerFooter alignWithMargins="0">
    <oddFooter>&amp;CPage &amp;P&amp;R&amp;A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P150"/>
  <sheetViews>
    <sheetView zoomScaleSheetLayoutView="140" workbookViewId="0" topLeftCell="A1">
      <selection activeCell="A4" sqref="A4"/>
    </sheetView>
  </sheetViews>
  <sheetFormatPr defaultColWidth="9.140625" defaultRowHeight="12.75"/>
  <cols>
    <col min="1" max="1" width="7.140625" style="9" customWidth="1"/>
    <col min="2" max="2" width="5.00390625" style="9" customWidth="1"/>
    <col min="3" max="3" width="33.57421875" style="9" customWidth="1"/>
    <col min="4" max="4" width="7.140625" style="9" customWidth="1"/>
    <col min="5" max="10" width="8.57421875" style="9" customWidth="1"/>
    <col min="11" max="16" width="10.00390625" style="9" customWidth="1"/>
    <col min="17" max="16384" width="9.140625" style="9" customWidth="1"/>
  </cols>
  <sheetData>
    <row r="1" spans="1:16" ht="14.25">
      <c r="A1" s="58"/>
      <c r="B1" s="58"/>
      <c r="C1" s="58"/>
      <c r="D1" s="58"/>
      <c r="E1" s="58"/>
      <c r="F1" s="58"/>
      <c r="G1" s="58" t="s">
        <v>1335</v>
      </c>
      <c r="H1" s="58"/>
      <c r="I1" s="58"/>
      <c r="J1" s="58"/>
      <c r="K1" s="58"/>
      <c r="L1" s="58"/>
      <c r="M1" s="58"/>
      <c r="N1" s="58"/>
      <c r="O1" s="58"/>
      <c r="P1" s="58"/>
    </row>
    <row r="2" spans="1:16" ht="14.25">
      <c r="A2" s="60"/>
      <c r="B2" s="60"/>
      <c r="C2" s="60"/>
      <c r="D2" s="60"/>
      <c r="E2" s="60"/>
      <c r="F2" s="60"/>
      <c r="G2" s="60" t="s">
        <v>1336</v>
      </c>
      <c r="H2" s="60"/>
      <c r="I2" s="60"/>
      <c r="J2" s="60"/>
      <c r="K2" s="60"/>
      <c r="L2" s="60"/>
      <c r="M2" s="60"/>
      <c r="N2" s="60"/>
      <c r="O2" s="60"/>
      <c r="P2" s="60"/>
    </row>
    <row r="3" spans="1:16" ht="7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ht="12.75" customHeight="1">
      <c r="A4" s="7" t="s">
        <v>23</v>
      </c>
      <c r="B4" s="8"/>
      <c r="C4"/>
      <c r="D4" s="7" t="s">
        <v>24</v>
      </c>
      <c r="E4" s="60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2.75" customHeight="1">
      <c r="A5" s="7" t="s">
        <v>25</v>
      </c>
      <c r="B5" s="10"/>
      <c r="C5"/>
      <c r="D5" s="32" t="s">
        <v>26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5" ht="12.75" customHeight="1">
      <c r="A6" s="7" t="s">
        <v>4</v>
      </c>
      <c r="B6" s="8"/>
      <c r="C6"/>
      <c r="E6" s="8"/>
    </row>
    <row r="7" spans="1:16" ht="12.75" customHeight="1">
      <c r="A7" s="10" t="s">
        <v>5</v>
      </c>
      <c r="B7" s="11"/>
      <c r="C7"/>
      <c r="D7" s="9" t="s">
        <v>6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2.75" customHeight="1">
      <c r="A8" s="7" t="s">
        <v>7</v>
      </c>
      <c r="B8" s="10"/>
      <c r="C8"/>
      <c r="D8" s="51" t="s">
        <v>8</v>
      </c>
      <c r="F8" s="10"/>
      <c r="G8" s="10"/>
      <c r="H8" s="10"/>
      <c r="I8" s="61"/>
      <c r="J8" s="61"/>
      <c r="K8" s="62"/>
      <c r="L8" s="61"/>
      <c r="M8" s="61"/>
      <c r="N8" s="63"/>
      <c r="O8" s="63"/>
      <c r="P8" s="61"/>
    </row>
    <row r="9" spans="1:16" ht="12">
      <c r="A9" s="7" t="s">
        <v>9</v>
      </c>
      <c r="B9" s="8"/>
      <c r="C9"/>
      <c r="D9" s="7" t="s">
        <v>10</v>
      </c>
      <c r="E9" s="10"/>
      <c r="I9" s="7"/>
      <c r="J9" s="7"/>
      <c r="K9" s="7"/>
      <c r="L9" s="7"/>
      <c r="M9" s="7"/>
      <c r="N9" s="7"/>
      <c r="O9" s="7"/>
      <c r="P9" s="7"/>
    </row>
    <row r="10" spans="1:8" ht="12.75" customHeight="1">
      <c r="A10" s="64"/>
      <c r="B10" s="64"/>
      <c r="C10" s="64"/>
      <c r="D10" s="64"/>
      <c r="E10" s="64"/>
      <c r="F10" s="64"/>
      <c r="G10" s="64"/>
      <c r="H10" s="64"/>
    </row>
    <row r="11" spans="1:16" ht="15" customHeight="1">
      <c r="A11" s="39" t="s">
        <v>56</v>
      </c>
      <c r="B11" s="65" t="s">
        <v>57</v>
      </c>
      <c r="C11" s="66" t="s">
        <v>58</v>
      </c>
      <c r="D11" s="65" t="s">
        <v>59</v>
      </c>
      <c r="E11" s="65" t="s">
        <v>60</v>
      </c>
      <c r="F11" s="66" t="s">
        <v>61</v>
      </c>
      <c r="G11" s="66"/>
      <c r="H11" s="66"/>
      <c r="I11" s="66"/>
      <c r="J11" s="66"/>
      <c r="K11" s="66"/>
      <c r="L11" s="66" t="s">
        <v>62</v>
      </c>
      <c r="M11" s="66" t="s">
        <v>62</v>
      </c>
      <c r="N11" s="66"/>
      <c r="O11" s="66"/>
      <c r="P11" s="66"/>
    </row>
    <row r="12" spans="1:16" ht="57.75" customHeight="1">
      <c r="A12" s="39"/>
      <c r="B12" s="65"/>
      <c r="C12" s="66"/>
      <c r="D12" s="65"/>
      <c r="E12" s="65"/>
      <c r="F12" s="65" t="s">
        <v>63</v>
      </c>
      <c r="G12" s="65" t="s">
        <v>64</v>
      </c>
      <c r="H12" s="65" t="s">
        <v>65</v>
      </c>
      <c r="I12" s="65" t="s">
        <v>66</v>
      </c>
      <c r="J12" s="65" t="s">
        <v>67</v>
      </c>
      <c r="K12" s="65" t="s">
        <v>68</v>
      </c>
      <c r="L12" s="65" t="s">
        <v>49</v>
      </c>
      <c r="M12" s="65" t="s">
        <v>69</v>
      </c>
      <c r="N12" s="65" t="s">
        <v>70</v>
      </c>
      <c r="O12" s="65" t="s">
        <v>67</v>
      </c>
      <c r="P12" s="65" t="s">
        <v>71</v>
      </c>
    </row>
    <row r="13" spans="1:16" ht="15" customHeight="1">
      <c r="A13" s="67">
        <v>1</v>
      </c>
      <c r="B13" s="67">
        <v>2</v>
      </c>
      <c r="C13" s="67">
        <v>3</v>
      </c>
      <c r="D13" s="67">
        <v>4</v>
      </c>
      <c r="E13" s="67">
        <v>5</v>
      </c>
      <c r="F13" s="67">
        <v>6</v>
      </c>
      <c r="G13" s="67">
        <v>7</v>
      </c>
      <c r="H13" s="67">
        <v>8</v>
      </c>
      <c r="I13" s="67">
        <v>9</v>
      </c>
      <c r="J13" s="67">
        <v>10</v>
      </c>
      <c r="K13" s="67">
        <v>11</v>
      </c>
      <c r="L13" s="67">
        <v>12</v>
      </c>
      <c r="M13" s="67">
        <v>13</v>
      </c>
      <c r="N13" s="67">
        <v>14</v>
      </c>
      <c r="O13" s="67">
        <v>15</v>
      </c>
      <c r="P13" s="67">
        <v>16</v>
      </c>
    </row>
    <row r="14" spans="1:16" s="109" customFormat="1" ht="15.75" customHeight="1">
      <c r="A14" s="104"/>
      <c r="B14" s="113"/>
      <c r="C14" s="121" t="s">
        <v>1337</v>
      </c>
      <c r="D14" s="113"/>
      <c r="E14" s="114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</row>
    <row r="15" spans="1:16" s="31" customFormat="1" ht="18" customHeight="1">
      <c r="A15" s="73" t="s">
        <v>1338</v>
      </c>
      <c r="B15" s="73"/>
      <c r="C15" s="79" t="s">
        <v>123</v>
      </c>
      <c r="D15" s="87" t="s">
        <v>108</v>
      </c>
      <c r="E15" s="88">
        <v>1</v>
      </c>
      <c r="F15" s="87"/>
      <c r="G15" s="77"/>
      <c r="H15" s="78"/>
      <c r="I15" s="78"/>
      <c r="J15" s="78"/>
      <c r="K15" s="78"/>
      <c r="L15" s="78"/>
      <c r="M15" s="78"/>
      <c r="N15" s="78"/>
      <c r="O15" s="78"/>
      <c r="P15" s="78"/>
    </row>
    <row r="16" spans="1:16" s="31" customFormat="1" ht="26.25" customHeight="1">
      <c r="A16" s="73" t="s">
        <v>1339</v>
      </c>
      <c r="B16" s="73"/>
      <c r="C16" s="89" t="s">
        <v>125</v>
      </c>
      <c r="D16" s="37" t="s">
        <v>108</v>
      </c>
      <c r="E16" s="88">
        <v>1</v>
      </c>
      <c r="F16" s="87"/>
      <c r="G16" s="77"/>
      <c r="H16" s="78"/>
      <c r="I16" s="78"/>
      <c r="J16" s="78"/>
      <c r="K16" s="78"/>
      <c r="L16" s="78"/>
      <c r="M16" s="78"/>
      <c r="N16" s="78"/>
      <c r="O16" s="78"/>
      <c r="P16" s="78"/>
    </row>
    <row r="17" spans="1:16" s="31" customFormat="1" ht="54" customHeight="1">
      <c r="A17" s="73" t="s">
        <v>1340</v>
      </c>
      <c r="B17" s="90"/>
      <c r="C17" s="79" t="s">
        <v>1341</v>
      </c>
      <c r="D17" s="91" t="s">
        <v>128</v>
      </c>
      <c r="E17" s="92">
        <v>1</v>
      </c>
      <c r="F17" s="93"/>
      <c r="G17" s="93"/>
      <c r="H17" s="80"/>
      <c r="I17" s="80"/>
      <c r="J17" s="80"/>
      <c r="K17" s="80"/>
      <c r="L17" s="80"/>
      <c r="M17" s="80"/>
      <c r="N17" s="80"/>
      <c r="O17" s="80"/>
      <c r="P17" s="80"/>
    </row>
    <row r="18" spans="1:16" s="109" customFormat="1" ht="18.75" customHeight="1">
      <c r="A18" s="104"/>
      <c r="B18" s="113"/>
      <c r="C18" s="125" t="s">
        <v>1342</v>
      </c>
      <c r="D18" s="113"/>
      <c r="E18" s="114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</row>
    <row r="19" spans="1:16" ht="29.25" customHeight="1">
      <c r="A19" s="73" t="s">
        <v>1343</v>
      </c>
      <c r="B19" s="66"/>
      <c r="C19" s="79" t="s">
        <v>1344</v>
      </c>
      <c r="D19" s="87" t="s">
        <v>74</v>
      </c>
      <c r="E19" s="77">
        <v>33</v>
      </c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1:16" s="109" customFormat="1" ht="15" customHeight="1">
      <c r="A20" s="140" t="s">
        <v>1345</v>
      </c>
      <c r="B20" s="105"/>
      <c r="C20" s="106" t="s">
        <v>134</v>
      </c>
      <c r="D20" s="105" t="s">
        <v>135</v>
      </c>
      <c r="E20" s="107">
        <f>SUM(E19*0.1)*1.5</f>
        <v>4.95</v>
      </c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</row>
    <row r="21" spans="1:16" s="61" customFormat="1" ht="27" customHeight="1">
      <c r="A21" s="73" t="s">
        <v>1346</v>
      </c>
      <c r="B21" s="71"/>
      <c r="C21" s="110" t="s">
        <v>1347</v>
      </c>
      <c r="D21" s="71" t="s">
        <v>74</v>
      </c>
      <c r="E21" s="72">
        <v>31.74</v>
      </c>
      <c r="F21" s="111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1:16" s="109" customFormat="1" ht="15.75" customHeight="1">
      <c r="A22" s="140" t="s">
        <v>1348</v>
      </c>
      <c r="B22" s="113"/>
      <c r="C22" s="112" t="s">
        <v>1286</v>
      </c>
      <c r="D22" s="113" t="s">
        <v>135</v>
      </c>
      <c r="E22" s="114">
        <f>ROUND(E21*0.05*1.5,2)</f>
        <v>2.38</v>
      </c>
      <c r="F22" s="115"/>
      <c r="G22" s="108"/>
      <c r="H22" s="108"/>
      <c r="I22" s="108"/>
      <c r="J22" s="108"/>
      <c r="K22" s="108"/>
      <c r="L22" s="108"/>
      <c r="M22" s="108"/>
      <c r="N22" s="108"/>
      <c r="O22" s="108"/>
      <c r="P22" s="108"/>
    </row>
    <row r="23" spans="1:16" ht="26.25" customHeight="1">
      <c r="A23" s="73" t="s">
        <v>1349</v>
      </c>
      <c r="B23" s="66"/>
      <c r="C23" s="110" t="s">
        <v>137</v>
      </c>
      <c r="D23" s="71" t="s">
        <v>74</v>
      </c>
      <c r="E23" s="72">
        <v>1.26</v>
      </c>
      <c r="F23" s="111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1:16" s="109" customFormat="1" ht="15" customHeight="1">
      <c r="A24" s="140" t="s">
        <v>1350</v>
      </c>
      <c r="B24" s="105"/>
      <c r="C24" s="112" t="s">
        <v>139</v>
      </c>
      <c r="D24" s="113" t="s">
        <v>135</v>
      </c>
      <c r="E24" s="114">
        <f>ROUND(E23*0.1*1.05,2)</f>
        <v>0.13</v>
      </c>
      <c r="F24" s="115"/>
      <c r="G24" s="108"/>
      <c r="H24" s="108"/>
      <c r="I24" s="108"/>
      <c r="J24" s="108"/>
      <c r="K24" s="108"/>
      <c r="L24" s="108"/>
      <c r="M24" s="108"/>
      <c r="N24" s="108"/>
      <c r="O24" s="108"/>
      <c r="P24" s="108"/>
    </row>
    <row r="25" spans="1:16" s="109" customFormat="1" ht="15" customHeight="1">
      <c r="A25" s="140" t="s">
        <v>1351</v>
      </c>
      <c r="B25" s="105"/>
      <c r="C25" s="112" t="s">
        <v>141</v>
      </c>
      <c r="D25" s="113" t="s">
        <v>151</v>
      </c>
      <c r="E25" s="114">
        <v>0.7</v>
      </c>
      <c r="F25" s="115"/>
      <c r="G25" s="108"/>
      <c r="H25" s="108"/>
      <c r="I25" s="108"/>
      <c r="J25" s="108"/>
      <c r="K25" s="108"/>
      <c r="L25" s="108"/>
      <c r="M25" s="108"/>
      <c r="N25" s="108"/>
      <c r="O25" s="108"/>
      <c r="P25" s="108"/>
    </row>
    <row r="26" spans="1:16" s="61" customFormat="1" ht="15" customHeight="1">
      <c r="A26" s="73" t="s">
        <v>1352</v>
      </c>
      <c r="B26" s="71"/>
      <c r="C26" s="110" t="s">
        <v>1353</v>
      </c>
      <c r="D26" s="71" t="s">
        <v>92</v>
      </c>
      <c r="E26" s="72">
        <v>0.48</v>
      </c>
      <c r="F26" s="111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1:16" s="109" customFormat="1" ht="15" customHeight="1">
      <c r="A27" s="140" t="s">
        <v>1354</v>
      </c>
      <c r="B27" s="113"/>
      <c r="C27" s="112" t="s">
        <v>141</v>
      </c>
      <c r="D27" s="113" t="s">
        <v>151</v>
      </c>
      <c r="E27" s="114">
        <f>SUM(E26*12)</f>
        <v>5.76</v>
      </c>
      <c r="F27" s="115"/>
      <c r="G27" s="108"/>
      <c r="H27" s="108"/>
      <c r="I27" s="108"/>
      <c r="J27" s="108"/>
      <c r="K27" s="108"/>
      <c r="L27" s="108"/>
      <c r="M27" s="108"/>
      <c r="N27" s="108"/>
      <c r="O27" s="108"/>
      <c r="P27" s="108"/>
    </row>
    <row r="28" spans="1:16" s="109" customFormat="1" ht="15" customHeight="1">
      <c r="A28" s="140" t="s">
        <v>1355</v>
      </c>
      <c r="B28" s="113"/>
      <c r="C28" s="112" t="s">
        <v>199</v>
      </c>
      <c r="D28" s="113" t="s">
        <v>135</v>
      </c>
      <c r="E28" s="114">
        <f>SUM(E26*1.03)</f>
        <v>0.4944</v>
      </c>
      <c r="F28" s="115"/>
      <c r="G28" s="108"/>
      <c r="H28" s="108"/>
      <c r="I28" s="108"/>
      <c r="J28" s="108"/>
      <c r="K28" s="108"/>
      <c r="L28" s="108"/>
      <c r="M28" s="108"/>
      <c r="N28" s="108"/>
      <c r="O28" s="108"/>
      <c r="P28" s="108"/>
    </row>
    <row r="29" spans="1:16" s="109" customFormat="1" ht="15" customHeight="1">
      <c r="A29" s="140" t="s">
        <v>1356</v>
      </c>
      <c r="B29" s="113"/>
      <c r="C29" s="112" t="s">
        <v>1357</v>
      </c>
      <c r="D29" s="113" t="s">
        <v>118</v>
      </c>
      <c r="E29" s="114">
        <v>1</v>
      </c>
      <c r="F29" s="115"/>
      <c r="G29" s="108"/>
      <c r="H29" s="108"/>
      <c r="I29" s="108"/>
      <c r="J29" s="108"/>
      <c r="K29" s="108"/>
      <c r="L29" s="108"/>
      <c r="M29" s="108"/>
      <c r="N29" s="108"/>
      <c r="O29" s="108"/>
      <c r="P29" s="108"/>
    </row>
    <row r="30" spans="1:16" s="109" customFormat="1" ht="15" customHeight="1">
      <c r="A30" s="140" t="s">
        <v>1358</v>
      </c>
      <c r="B30" s="113"/>
      <c r="C30" s="112" t="s">
        <v>1359</v>
      </c>
      <c r="D30" s="113" t="s">
        <v>239</v>
      </c>
      <c r="E30" s="114">
        <f>SUM(E26*0.3)</f>
        <v>0.144</v>
      </c>
      <c r="F30" s="115"/>
      <c r="G30" s="108"/>
      <c r="H30" s="108"/>
      <c r="I30" s="108"/>
      <c r="J30" s="108"/>
      <c r="K30" s="108"/>
      <c r="L30" s="108"/>
      <c r="M30" s="108"/>
      <c r="N30" s="108"/>
      <c r="O30" s="108"/>
      <c r="P30" s="108"/>
    </row>
    <row r="31" spans="1:16" s="61" customFormat="1" ht="32.25" customHeight="1">
      <c r="A31" s="73" t="s">
        <v>1360</v>
      </c>
      <c r="B31" s="71"/>
      <c r="C31" s="110" t="s">
        <v>1361</v>
      </c>
      <c r="D31" s="71" t="s">
        <v>92</v>
      </c>
      <c r="E31" s="72">
        <v>6.35</v>
      </c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1:16" s="109" customFormat="1" ht="15.75" customHeight="1">
      <c r="A32" s="140" t="s">
        <v>1362</v>
      </c>
      <c r="B32" s="113"/>
      <c r="C32" s="112" t="s">
        <v>141</v>
      </c>
      <c r="D32" s="113" t="s">
        <v>151</v>
      </c>
      <c r="E32" s="114">
        <v>6.25</v>
      </c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</row>
    <row r="33" spans="1:16" s="109" customFormat="1" ht="15.75" customHeight="1">
      <c r="A33" s="140" t="s">
        <v>1363</v>
      </c>
      <c r="B33" s="113"/>
      <c r="C33" s="112" t="s">
        <v>245</v>
      </c>
      <c r="D33" s="113" t="s">
        <v>154</v>
      </c>
      <c r="E33" s="118">
        <v>750</v>
      </c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</row>
    <row r="34" spans="1:16" s="109" customFormat="1" ht="15.75" customHeight="1">
      <c r="A34" s="140" t="s">
        <v>1364</v>
      </c>
      <c r="B34" s="113"/>
      <c r="C34" s="112" t="s">
        <v>160</v>
      </c>
      <c r="D34" s="113" t="s">
        <v>135</v>
      </c>
      <c r="E34" s="114">
        <f>ROUND(E31*1.03,2)</f>
        <v>6.54</v>
      </c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</row>
    <row r="35" spans="1:16" s="109" customFormat="1" ht="15.75" customHeight="1">
      <c r="A35" s="140" t="s">
        <v>1365</v>
      </c>
      <c r="B35" s="113"/>
      <c r="C35" s="112" t="s">
        <v>162</v>
      </c>
      <c r="D35" s="113" t="s">
        <v>118</v>
      </c>
      <c r="E35" s="114">
        <v>1</v>
      </c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1:16" s="61" customFormat="1" ht="58.5" customHeight="1">
      <c r="A36" s="73" t="s">
        <v>1366</v>
      </c>
      <c r="B36" s="87"/>
      <c r="C36" s="79" t="s">
        <v>1367</v>
      </c>
      <c r="D36" s="71" t="s">
        <v>92</v>
      </c>
      <c r="E36" s="72">
        <v>10.7</v>
      </c>
      <c r="F36" s="111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1:16" s="109" customFormat="1" ht="15" customHeight="1">
      <c r="A37" s="140" t="s">
        <v>1368</v>
      </c>
      <c r="B37" s="105"/>
      <c r="C37" s="112" t="s">
        <v>1369</v>
      </c>
      <c r="D37" s="113" t="s">
        <v>135</v>
      </c>
      <c r="E37" s="114">
        <v>10.07</v>
      </c>
      <c r="F37" s="115"/>
      <c r="G37" s="108"/>
      <c r="H37" s="108"/>
      <c r="I37" s="108"/>
      <c r="J37" s="108"/>
      <c r="K37" s="108"/>
      <c r="L37" s="108"/>
      <c r="M37" s="108"/>
      <c r="N37" s="108"/>
      <c r="O37" s="108"/>
      <c r="P37" s="108"/>
    </row>
    <row r="38" spans="1:16" s="109" customFormat="1" ht="15" customHeight="1">
      <c r="A38" s="140" t="s">
        <v>1370</v>
      </c>
      <c r="B38" s="113"/>
      <c r="C38" s="112" t="s">
        <v>1371</v>
      </c>
      <c r="D38" s="113" t="s">
        <v>135</v>
      </c>
      <c r="E38" s="114">
        <v>0.81</v>
      </c>
      <c r="F38" s="115"/>
      <c r="G38" s="108"/>
      <c r="H38" s="108"/>
      <c r="I38" s="108"/>
      <c r="J38" s="108"/>
      <c r="K38" s="108"/>
      <c r="L38" s="108"/>
      <c r="M38" s="108"/>
      <c r="N38" s="108"/>
      <c r="O38" s="108"/>
      <c r="P38" s="108"/>
    </row>
    <row r="39" spans="1:16" s="61" customFormat="1" ht="27" customHeight="1">
      <c r="A39" s="73" t="s">
        <v>1372</v>
      </c>
      <c r="B39" s="71"/>
      <c r="C39" s="110" t="s">
        <v>1373</v>
      </c>
      <c r="D39" s="71" t="s">
        <v>445</v>
      </c>
      <c r="E39" s="72">
        <v>1.19</v>
      </c>
      <c r="F39" s="111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1:16" s="109" customFormat="1" ht="15" customHeight="1">
      <c r="A40" s="140" t="s">
        <v>1374</v>
      </c>
      <c r="B40" s="113"/>
      <c r="C40" s="112" t="s">
        <v>141</v>
      </c>
      <c r="D40" s="113" t="s">
        <v>151</v>
      </c>
      <c r="E40" s="114">
        <v>11.9</v>
      </c>
      <c r="F40" s="115"/>
      <c r="G40" s="108"/>
      <c r="H40" s="108"/>
      <c r="I40" s="108"/>
      <c r="J40" s="108"/>
      <c r="K40" s="108"/>
      <c r="L40" s="108"/>
      <c r="M40" s="108"/>
      <c r="N40" s="108"/>
      <c r="O40" s="108"/>
      <c r="P40" s="108"/>
    </row>
    <row r="41" spans="1:16" s="109" customFormat="1" ht="15" customHeight="1">
      <c r="A41" s="140" t="s">
        <v>1375</v>
      </c>
      <c r="B41" s="113"/>
      <c r="C41" s="112" t="s">
        <v>1376</v>
      </c>
      <c r="D41" s="113" t="s">
        <v>154</v>
      </c>
      <c r="E41" s="114">
        <v>318</v>
      </c>
      <c r="F41" s="115"/>
      <c r="G41" s="108"/>
      <c r="H41" s="108"/>
      <c r="I41" s="108"/>
      <c r="J41" s="108"/>
      <c r="K41" s="108"/>
      <c r="L41" s="108"/>
      <c r="M41" s="108"/>
      <c r="N41" s="108"/>
      <c r="O41" s="108"/>
      <c r="P41" s="108"/>
    </row>
    <row r="42" spans="1:16" s="109" customFormat="1" ht="15" customHeight="1">
      <c r="A42" s="140" t="s">
        <v>1377</v>
      </c>
      <c r="B42" s="113"/>
      <c r="C42" s="112" t="s">
        <v>160</v>
      </c>
      <c r="D42" s="113" t="s">
        <v>135</v>
      </c>
      <c r="E42" s="114">
        <f>SUM(E39*1.03)</f>
        <v>1.2257</v>
      </c>
      <c r="F42" s="115"/>
      <c r="G42" s="108"/>
      <c r="H42" s="108"/>
      <c r="I42" s="108"/>
      <c r="J42" s="108"/>
      <c r="K42" s="108"/>
      <c r="L42" s="108"/>
      <c r="M42" s="108"/>
      <c r="N42" s="108"/>
      <c r="O42" s="108"/>
      <c r="P42" s="108"/>
    </row>
    <row r="43" spans="1:16" s="61" customFormat="1" ht="42" customHeight="1">
      <c r="A43" s="73" t="s">
        <v>1378</v>
      </c>
      <c r="B43" s="87"/>
      <c r="C43" s="79" t="s">
        <v>1379</v>
      </c>
      <c r="D43" s="87" t="s">
        <v>74</v>
      </c>
      <c r="E43" s="77">
        <v>119</v>
      </c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1:16" s="109" customFormat="1" ht="15" customHeight="1">
      <c r="A44" s="73"/>
      <c r="B44" s="113"/>
      <c r="C44" s="121" t="s">
        <v>1380</v>
      </c>
      <c r="D44" s="113"/>
      <c r="E44" s="114"/>
      <c r="F44" s="115"/>
      <c r="G44" s="108"/>
      <c r="H44" s="108"/>
      <c r="I44" s="108"/>
      <c r="J44" s="78"/>
      <c r="K44" s="108"/>
      <c r="L44" s="108"/>
      <c r="M44" s="108"/>
      <c r="N44" s="108"/>
      <c r="O44" s="108"/>
      <c r="P44" s="108"/>
    </row>
    <row r="45" spans="1:16" s="61" customFormat="1" ht="31.5" customHeight="1">
      <c r="A45" s="73" t="s">
        <v>1381</v>
      </c>
      <c r="B45" s="71"/>
      <c r="C45" s="110" t="s">
        <v>1382</v>
      </c>
      <c r="D45" s="71" t="s">
        <v>203</v>
      </c>
      <c r="E45" s="72">
        <v>5</v>
      </c>
      <c r="F45" s="111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1:16" s="109" customFormat="1" ht="29.25" customHeight="1">
      <c r="A46" s="73" t="s">
        <v>1383</v>
      </c>
      <c r="B46" s="113"/>
      <c r="C46" s="112" t="s">
        <v>1384</v>
      </c>
      <c r="D46" s="113" t="s">
        <v>203</v>
      </c>
      <c r="E46" s="114">
        <v>4</v>
      </c>
      <c r="F46" s="115"/>
      <c r="G46" s="108"/>
      <c r="H46" s="108"/>
      <c r="I46" s="108"/>
      <c r="J46" s="108"/>
      <c r="K46" s="108"/>
      <c r="L46" s="108"/>
      <c r="M46" s="108"/>
      <c r="N46" s="108"/>
      <c r="O46" s="108"/>
      <c r="P46" s="108"/>
    </row>
    <row r="47" spans="1:16" s="109" customFormat="1" ht="26.25" customHeight="1">
      <c r="A47" s="73" t="s">
        <v>1385</v>
      </c>
      <c r="B47" s="113"/>
      <c r="C47" s="112" t="s">
        <v>1386</v>
      </c>
      <c r="D47" s="113" t="s">
        <v>203</v>
      </c>
      <c r="E47" s="114">
        <v>1</v>
      </c>
      <c r="F47" s="115"/>
      <c r="G47" s="108"/>
      <c r="H47" s="108"/>
      <c r="I47" s="108"/>
      <c r="J47" s="108"/>
      <c r="K47" s="108"/>
      <c r="L47" s="108"/>
      <c r="M47" s="108"/>
      <c r="N47" s="108"/>
      <c r="O47" s="108"/>
      <c r="P47" s="108"/>
    </row>
    <row r="48" spans="1:16" s="109" customFormat="1" ht="30" customHeight="1">
      <c r="A48" s="73" t="s">
        <v>1387</v>
      </c>
      <c r="B48" s="113"/>
      <c r="C48" s="112" t="s">
        <v>213</v>
      </c>
      <c r="D48" s="113" t="s">
        <v>135</v>
      </c>
      <c r="E48" s="114">
        <v>0.6</v>
      </c>
      <c r="F48" s="115"/>
      <c r="G48" s="108"/>
      <c r="H48" s="108"/>
      <c r="I48" s="108"/>
      <c r="J48" s="108"/>
      <c r="K48" s="108"/>
      <c r="L48" s="108"/>
      <c r="M48" s="108"/>
      <c r="N48" s="108"/>
      <c r="O48" s="108"/>
      <c r="P48" s="108"/>
    </row>
    <row r="49" spans="1:16" s="61" customFormat="1" ht="30" customHeight="1">
      <c r="A49" s="73" t="s">
        <v>1388</v>
      </c>
      <c r="B49" s="71"/>
      <c r="C49" s="110" t="s">
        <v>1389</v>
      </c>
      <c r="D49" s="71" t="s">
        <v>92</v>
      </c>
      <c r="E49" s="72">
        <v>1.36</v>
      </c>
      <c r="F49" s="111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1:16" s="109" customFormat="1" ht="15" customHeight="1">
      <c r="A50" s="73" t="s">
        <v>1390</v>
      </c>
      <c r="B50" s="113"/>
      <c r="C50" s="112" t="s">
        <v>141</v>
      </c>
      <c r="D50" s="113" t="s">
        <v>151</v>
      </c>
      <c r="E50" s="114">
        <f>SUM(E49*10)</f>
        <v>13.600000000000001</v>
      </c>
      <c r="F50" s="115"/>
      <c r="G50" s="108"/>
      <c r="H50" s="108"/>
      <c r="I50" s="108"/>
      <c r="J50" s="108"/>
      <c r="K50" s="108"/>
      <c r="L50" s="108"/>
      <c r="M50" s="108"/>
      <c r="N50" s="108"/>
      <c r="O50" s="108"/>
      <c r="P50" s="108"/>
    </row>
    <row r="51" spans="1:16" s="109" customFormat="1" ht="15" customHeight="1">
      <c r="A51" s="73" t="s">
        <v>1391</v>
      </c>
      <c r="B51" s="113"/>
      <c r="C51" s="112" t="s">
        <v>1376</v>
      </c>
      <c r="D51" s="113" t="s">
        <v>154</v>
      </c>
      <c r="E51" s="114">
        <v>318</v>
      </c>
      <c r="F51" s="115"/>
      <c r="G51" s="108"/>
      <c r="H51" s="108"/>
      <c r="I51" s="108"/>
      <c r="J51" s="108"/>
      <c r="K51" s="108"/>
      <c r="L51" s="108"/>
      <c r="M51" s="108"/>
      <c r="N51" s="108"/>
      <c r="O51" s="108"/>
      <c r="P51" s="108"/>
    </row>
    <row r="52" spans="1:16" s="109" customFormat="1" ht="15" customHeight="1">
      <c r="A52" s="73" t="s">
        <v>1392</v>
      </c>
      <c r="B52" s="113"/>
      <c r="C52" s="112" t="s">
        <v>160</v>
      </c>
      <c r="D52" s="113" t="s">
        <v>135</v>
      </c>
      <c r="E52" s="114">
        <f>SUM(E49*1.03)</f>
        <v>1.4008</v>
      </c>
      <c r="F52" s="115"/>
      <c r="G52" s="108"/>
      <c r="H52" s="108"/>
      <c r="I52" s="108"/>
      <c r="J52" s="108"/>
      <c r="K52" s="108"/>
      <c r="L52" s="108"/>
      <c r="M52" s="108"/>
      <c r="N52" s="108"/>
      <c r="O52" s="108"/>
      <c r="P52" s="108"/>
    </row>
    <row r="53" spans="1:16" s="109" customFormat="1" ht="15" customHeight="1">
      <c r="A53" s="73"/>
      <c r="B53" s="113"/>
      <c r="C53" s="121" t="s">
        <v>1393</v>
      </c>
      <c r="D53" s="113"/>
      <c r="E53" s="114"/>
      <c r="F53" s="115"/>
      <c r="G53" s="108"/>
      <c r="H53" s="108"/>
      <c r="I53" s="108"/>
      <c r="J53" s="108"/>
      <c r="K53" s="108"/>
      <c r="L53" s="108"/>
      <c r="M53" s="108"/>
      <c r="N53" s="108"/>
      <c r="O53" s="108"/>
      <c r="P53" s="108"/>
    </row>
    <row r="54" spans="1:16" s="61" customFormat="1" ht="31.5" customHeight="1">
      <c r="A54" s="73" t="s">
        <v>1394</v>
      </c>
      <c r="B54" s="71"/>
      <c r="C54" s="110" t="s">
        <v>1395</v>
      </c>
      <c r="D54" s="71" t="s">
        <v>74</v>
      </c>
      <c r="E54" s="72">
        <v>19.4</v>
      </c>
      <c r="F54" s="111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1:16" s="109" customFormat="1" ht="15" customHeight="1">
      <c r="A55" s="140" t="s">
        <v>1396</v>
      </c>
      <c r="B55" s="113"/>
      <c r="C55" s="112" t="s">
        <v>343</v>
      </c>
      <c r="D55" s="113" t="s">
        <v>151</v>
      </c>
      <c r="E55" s="114">
        <f>SUM(E54*1.1)</f>
        <v>21.34</v>
      </c>
      <c r="F55" s="115"/>
      <c r="G55" s="108"/>
      <c r="H55" s="108"/>
      <c r="I55" s="108"/>
      <c r="J55" s="108"/>
      <c r="K55" s="108"/>
      <c r="L55" s="108"/>
      <c r="M55" s="108"/>
      <c r="N55" s="108"/>
      <c r="O55" s="108"/>
      <c r="P55" s="108"/>
    </row>
    <row r="56" spans="1:16" s="109" customFormat="1" ht="18" customHeight="1">
      <c r="A56" s="140" t="s">
        <v>1397</v>
      </c>
      <c r="B56" s="113"/>
      <c r="C56" s="112" t="s">
        <v>1398</v>
      </c>
      <c r="D56" s="113" t="s">
        <v>151</v>
      </c>
      <c r="E56" s="114">
        <f>SUM(E54*1.03)</f>
        <v>19.982</v>
      </c>
      <c r="F56" s="115"/>
      <c r="G56" s="108"/>
      <c r="H56" s="108"/>
      <c r="I56" s="108"/>
      <c r="J56" s="108"/>
      <c r="K56" s="108"/>
      <c r="L56" s="108"/>
      <c r="M56" s="108"/>
      <c r="N56" s="108"/>
      <c r="O56" s="108"/>
      <c r="P56" s="108"/>
    </row>
    <row r="57" spans="1:16" s="109" customFormat="1" ht="15" customHeight="1">
      <c r="A57" s="140" t="s">
        <v>1399</v>
      </c>
      <c r="B57" s="113"/>
      <c r="C57" s="112" t="s">
        <v>1400</v>
      </c>
      <c r="D57" s="113" t="s">
        <v>151</v>
      </c>
      <c r="E57" s="114">
        <f>SUM(E54*1.1)</f>
        <v>21.34</v>
      </c>
      <c r="F57" s="115"/>
      <c r="G57" s="108"/>
      <c r="H57" s="108"/>
      <c r="I57" s="108"/>
      <c r="J57" s="108"/>
      <c r="K57" s="108"/>
      <c r="L57" s="108"/>
      <c r="M57" s="108"/>
      <c r="N57" s="108"/>
      <c r="O57" s="108"/>
      <c r="P57" s="108"/>
    </row>
    <row r="58" spans="1:16" s="109" customFormat="1" ht="15" customHeight="1">
      <c r="A58" s="140" t="s">
        <v>1401</v>
      </c>
      <c r="B58" s="113"/>
      <c r="C58" s="112" t="s">
        <v>162</v>
      </c>
      <c r="D58" s="113" t="s">
        <v>118</v>
      </c>
      <c r="E58" s="114">
        <v>1</v>
      </c>
      <c r="F58" s="115"/>
      <c r="G58" s="108"/>
      <c r="H58" s="108"/>
      <c r="I58" s="108"/>
      <c r="J58" s="108"/>
      <c r="K58" s="108"/>
      <c r="L58" s="108"/>
      <c r="M58" s="108"/>
      <c r="N58" s="108"/>
      <c r="O58" s="108"/>
      <c r="P58" s="108"/>
    </row>
    <row r="59" spans="1:16" s="109" customFormat="1" ht="18" customHeight="1">
      <c r="A59" s="73"/>
      <c r="B59" s="105"/>
      <c r="C59" s="139" t="s">
        <v>1402</v>
      </c>
      <c r="D59" s="105"/>
      <c r="E59" s="107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</row>
    <row r="60" spans="1:16" s="61" customFormat="1" ht="28.5" customHeight="1">
      <c r="A60" s="73" t="s">
        <v>1403</v>
      </c>
      <c r="B60" s="87"/>
      <c r="C60" s="79" t="s">
        <v>272</v>
      </c>
      <c r="D60" s="37" t="s">
        <v>74</v>
      </c>
      <c r="E60" s="37">
        <v>43.8</v>
      </c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</row>
    <row r="61" spans="1:16" s="109" customFormat="1" ht="15" customHeight="1">
      <c r="A61" s="140" t="s">
        <v>1404</v>
      </c>
      <c r="B61" s="105"/>
      <c r="C61" s="116" t="s">
        <v>274</v>
      </c>
      <c r="D61" s="169" t="s">
        <v>135</v>
      </c>
      <c r="E61" s="246">
        <f>SUM(E60*0.3)</f>
        <v>13.139999999999999</v>
      </c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</row>
    <row r="62" spans="1:16" s="109" customFormat="1" ht="15" customHeight="1">
      <c r="A62" s="140" t="s">
        <v>1405</v>
      </c>
      <c r="B62" s="105"/>
      <c r="C62" s="116" t="s">
        <v>276</v>
      </c>
      <c r="D62" s="169" t="s">
        <v>77</v>
      </c>
      <c r="E62" s="169">
        <f>ROUND((E60*2)*1.03,0)</f>
        <v>90</v>
      </c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</row>
    <row r="63" spans="1:16" s="109" customFormat="1" ht="15" customHeight="1">
      <c r="A63" s="140" t="s">
        <v>1406</v>
      </c>
      <c r="B63" s="105"/>
      <c r="C63" s="116" t="s">
        <v>278</v>
      </c>
      <c r="D63" s="169" t="s">
        <v>115</v>
      </c>
      <c r="E63" s="170">
        <f>SUM(E60*0.025)*1.05</f>
        <v>1.14975</v>
      </c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</row>
    <row r="64" spans="1:16" s="61" customFormat="1" ht="17.25" customHeight="1">
      <c r="A64" s="73" t="s">
        <v>1407</v>
      </c>
      <c r="B64" s="87"/>
      <c r="C64" s="79" t="s">
        <v>1408</v>
      </c>
      <c r="D64" s="37" t="s">
        <v>203</v>
      </c>
      <c r="E64" s="93">
        <v>4</v>
      </c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</row>
    <row r="65" spans="1:16" s="109" customFormat="1" ht="15" customHeight="1">
      <c r="A65" s="140" t="s">
        <v>1409</v>
      </c>
      <c r="B65" s="105"/>
      <c r="C65" s="116" t="s">
        <v>1410</v>
      </c>
      <c r="D65" s="169" t="s">
        <v>203</v>
      </c>
      <c r="E65" s="170">
        <v>2</v>
      </c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</row>
    <row r="66" spans="1:16" s="109" customFormat="1" ht="15" customHeight="1">
      <c r="A66" s="140" t="s">
        <v>1411</v>
      </c>
      <c r="B66" s="105"/>
      <c r="C66" s="116" t="s">
        <v>1412</v>
      </c>
      <c r="D66" s="169" t="s">
        <v>203</v>
      </c>
      <c r="E66" s="170">
        <v>2</v>
      </c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</row>
    <row r="67" spans="1:16" s="61" customFormat="1" ht="25.5" customHeight="1">
      <c r="A67" s="73" t="s">
        <v>1413</v>
      </c>
      <c r="B67" s="87"/>
      <c r="C67" s="79" t="s">
        <v>1414</v>
      </c>
      <c r="D67" s="87" t="s">
        <v>92</v>
      </c>
      <c r="E67" s="77">
        <v>0.85</v>
      </c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1:16" s="109" customFormat="1" ht="15" customHeight="1">
      <c r="A68" s="140" t="s">
        <v>1415</v>
      </c>
      <c r="B68" s="113"/>
      <c r="C68" s="112" t="s">
        <v>141</v>
      </c>
      <c r="D68" s="113" t="s">
        <v>151</v>
      </c>
      <c r="E68" s="114">
        <v>5</v>
      </c>
      <c r="F68" s="115"/>
      <c r="G68" s="108"/>
      <c r="H68" s="108"/>
      <c r="I68" s="108"/>
      <c r="J68" s="108"/>
      <c r="K68" s="108"/>
      <c r="L68" s="108"/>
      <c r="M68" s="108"/>
      <c r="N68" s="108"/>
      <c r="O68" s="108"/>
      <c r="P68" s="108"/>
    </row>
    <row r="69" spans="1:16" s="109" customFormat="1" ht="15" customHeight="1">
      <c r="A69" s="140" t="s">
        <v>1416</v>
      </c>
      <c r="B69" s="113"/>
      <c r="C69" s="112" t="s">
        <v>1376</v>
      </c>
      <c r="D69" s="113" t="s">
        <v>154</v>
      </c>
      <c r="E69" s="114">
        <v>80</v>
      </c>
      <c r="F69" s="115"/>
      <c r="G69" s="108"/>
      <c r="H69" s="108"/>
      <c r="I69" s="108"/>
      <c r="J69" s="108"/>
      <c r="K69" s="108"/>
      <c r="L69" s="108"/>
      <c r="M69" s="108"/>
      <c r="N69" s="108"/>
      <c r="O69" s="108"/>
      <c r="P69" s="108"/>
    </row>
    <row r="70" spans="1:16" s="109" customFormat="1" ht="15" customHeight="1">
      <c r="A70" s="140" t="s">
        <v>1417</v>
      </c>
      <c r="B70" s="113"/>
      <c r="C70" s="112" t="s">
        <v>1418</v>
      </c>
      <c r="D70" s="113" t="s">
        <v>135</v>
      </c>
      <c r="E70" s="114">
        <f>SUM(E67*1.03)</f>
        <v>0.8755</v>
      </c>
      <c r="F70" s="115"/>
      <c r="G70" s="108"/>
      <c r="H70" s="108"/>
      <c r="I70" s="108"/>
      <c r="J70" s="108"/>
      <c r="K70" s="108"/>
      <c r="L70" s="108"/>
      <c r="M70" s="108"/>
      <c r="N70" s="108"/>
      <c r="O70" s="108"/>
      <c r="P70" s="108"/>
    </row>
    <row r="71" spans="1:16" s="109" customFormat="1" ht="15" customHeight="1">
      <c r="A71" s="140" t="s">
        <v>1419</v>
      </c>
      <c r="B71" s="113"/>
      <c r="C71" s="110" t="s">
        <v>1420</v>
      </c>
      <c r="D71" s="87" t="s">
        <v>74</v>
      </c>
      <c r="E71" s="77">
        <v>10</v>
      </c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1:16" s="109" customFormat="1" ht="15" customHeight="1">
      <c r="A72" s="73"/>
      <c r="B72" s="105"/>
      <c r="C72" s="139" t="s">
        <v>1421</v>
      </c>
      <c r="D72" s="345"/>
      <c r="E72" s="107"/>
      <c r="F72" s="108"/>
      <c r="G72" s="108"/>
      <c r="H72" s="108"/>
      <c r="I72" s="108"/>
      <c r="J72" s="108"/>
      <c r="K72" s="108"/>
      <c r="L72" s="117"/>
      <c r="M72" s="117"/>
      <c r="N72" s="117"/>
      <c r="O72" s="117"/>
      <c r="P72" s="117"/>
    </row>
    <row r="73" spans="1:16" s="61" customFormat="1" ht="31.5" customHeight="1">
      <c r="A73" s="73" t="s">
        <v>1422</v>
      </c>
      <c r="B73" s="87"/>
      <c r="C73" s="79" t="s">
        <v>1423</v>
      </c>
      <c r="D73" s="87" t="s">
        <v>92</v>
      </c>
      <c r="E73" s="77">
        <v>1.26</v>
      </c>
      <c r="F73" s="93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1:16" s="109" customFormat="1" ht="15" customHeight="1">
      <c r="A74" s="140" t="s">
        <v>1424</v>
      </c>
      <c r="B74" s="105"/>
      <c r="C74" s="116" t="s">
        <v>361</v>
      </c>
      <c r="D74" s="105" t="s">
        <v>135</v>
      </c>
      <c r="E74" s="107">
        <f>SUM(E73*1.1)</f>
        <v>1.3860000000000001</v>
      </c>
      <c r="F74" s="163"/>
      <c r="G74" s="108"/>
      <c r="H74" s="108"/>
      <c r="I74" s="143"/>
      <c r="J74" s="108"/>
      <c r="K74" s="108"/>
      <c r="L74" s="108"/>
      <c r="M74" s="108"/>
      <c r="N74" s="108"/>
      <c r="O74" s="108"/>
      <c r="P74" s="108"/>
    </row>
    <row r="75" spans="1:16" s="109" customFormat="1" ht="15" customHeight="1">
      <c r="A75" s="140" t="s">
        <v>1425</v>
      </c>
      <c r="B75" s="105"/>
      <c r="C75" s="116" t="s">
        <v>162</v>
      </c>
      <c r="D75" s="105" t="s">
        <v>118</v>
      </c>
      <c r="E75" s="107">
        <v>1</v>
      </c>
      <c r="F75" s="163"/>
      <c r="G75" s="108"/>
      <c r="H75" s="108"/>
      <c r="I75" s="163"/>
      <c r="J75" s="108"/>
      <c r="K75" s="108"/>
      <c r="L75" s="108"/>
      <c r="M75" s="108"/>
      <c r="N75" s="108"/>
      <c r="O75" s="108"/>
      <c r="P75" s="108"/>
    </row>
    <row r="76" spans="1:16" s="109" customFormat="1" ht="15" customHeight="1">
      <c r="A76" s="73"/>
      <c r="B76" s="105"/>
      <c r="C76" s="139" t="s">
        <v>1426</v>
      </c>
      <c r="D76" s="105"/>
      <c r="E76" s="107"/>
      <c r="F76" s="108"/>
      <c r="G76" s="108"/>
      <c r="H76" s="108"/>
      <c r="I76" s="108"/>
      <c r="J76" s="108"/>
      <c r="K76" s="108"/>
      <c r="L76" s="117"/>
      <c r="M76" s="117"/>
      <c r="N76" s="117"/>
      <c r="O76" s="117"/>
      <c r="P76" s="117"/>
    </row>
    <row r="77" spans="1:16" s="31" customFormat="1" ht="16.5" customHeight="1">
      <c r="A77" s="73" t="s">
        <v>1427</v>
      </c>
      <c r="B77" s="37"/>
      <c r="C77" s="79" t="s">
        <v>440</v>
      </c>
      <c r="D77" s="37" t="s">
        <v>167</v>
      </c>
      <c r="E77" s="93">
        <v>45.5</v>
      </c>
      <c r="F77" s="93"/>
      <c r="G77" s="93"/>
      <c r="H77" s="80"/>
      <c r="I77" s="80"/>
      <c r="J77" s="80"/>
      <c r="K77" s="80"/>
      <c r="L77" s="80"/>
      <c r="M77" s="80"/>
      <c r="N77" s="80"/>
      <c r="O77" s="80"/>
      <c r="P77" s="80"/>
    </row>
    <row r="78" spans="1:16" s="144" customFormat="1" ht="12.75" customHeight="1">
      <c r="A78" s="140" t="s">
        <v>1428</v>
      </c>
      <c r="B78" s="169"/>
      <c r="C78" s="116" t="s">
        <v>442</v>
      </c>
      <c r="D78" s="169" t="s">
        <v>167</v>
      </c>
      <c r="E78" s="170">
        <f>SUM(E77*1.15)</f>
        <v>52.324999999999996</v>
      </c>
      <c r="F78" s="115"/>
      <c r="G78" s="143"/>
      <c r="H78" s="115"/>
      <c r="I78" s="143"/>
      <c r="J78" s="143"/>
      <c r="K78" s="143"/>
      <c r="L78" s="143"/>
      <c r="M78" s="143"/>
      <c r="N78" s="143"/>
      <c r="O78" s="143"/>
      <c r="P78" s="143"/>
    </row>
    <row r="79" spans="1:16" s="144" customFormat="1" ht="15.75" customHeight="1">
      <c r="A79" s="140" t="s">
        <v>1429</v>
      </c>
      <c r="B79" s="169"/>
      <c r="C79" s="116" t="s">
        <v>444</v>
      </c>
      <c r="D79" s="169" t="s">
        <v>445</v>
      </c>
      <c r="E79" s="170">
        <f>SUM(E77*0.003)</f>
        <v>0.1365</v>
      </c>
      <c r="F79" s="115"/>
      <c r="G79" s="143"/>
      <c r="H79" s="115"/>
      <c r="I79" s="143"/>
      <c r="J79" s="143"/>
      <c r="K79" s="143"/>
      <c r="L79" s="143"/>
      <c r="M79" s="143"/>
      <c r="N79" s="143"/>
      <c r="O79" s="143"/>
      <c r="P79" s="143"/>
    </row>
    <row r="80" spans="1:16" s="144" customFormat="1" ht="12.75" customHeight="1">
      <c r="A80" s="140" t="s">
        <v>1430</v>
      </c>
      <c r="B80" s="169"/>
      <c r="C80" s="116" t="s">
        <v>447</v>
      </c>
      <c r="D80" s="169" t="s">
        <v>445</v>
      </c>
      <c r="E80" s="170">
        <f>SUM(E77*0.01)</f>
        <v>0.455</v>
      </c>
      <c r="F80" s="115"/>
      <c r="G80" s="143"/>
      <c r="H80" s="115"/>
      <c r="I80" s="143"/>
      <c r="J80" s="143"/>
      <c r="K80" s="143"/>
      <c r="L80" s="143"/>
      <c r="M80" s="143"/>
      <c r="N80" s="143"/>
      <c r="O80" s="143"/>
      <c r="P80" s="143"/>
    </row>
    <row r="81" spans="1:16" s="144" customFormat="1" ht="29.25" customHeight="1">
      <c r="A81" s="140" t="s">
        <v>1431</v>
      </c>
      <c r="B81" s="169"/>
      <c r="C81" s="116" t="s">
        <v>449</v>
      </c>
      <c r="D81" s="169" t="s">
        <v>167</v>
      </c>
      <c r="E81" s="170">
        <f>SUM(E77*1.15)</f>
        <v>52.324999999999996</v>
      </c>
      <c r="F81" s="115"/>
      <c r="G81" s="143"/>
      <c r="H81" s="115"/>
      <c r="I81" s="143"/>
      <c r="J81" s="143"/>
      <c r="K81" s="143"/>
      <c r="L81" s="143"/>
      <c r="M81" s="143"/>
      <c r="N81" s="143"/>
      <c r="O81" s="143"/>
      <c r="P81" s="143"/>
    </row>
    <row r="82" spans="1:16" s="144" customFormat="1" ht="27" customHeight="1">
      <c r="A82" s="140" t="s">
        <v>1432</v>
      </c>
      <c r="B82" s="169"/>
      <c r="C82" s="116" t="s">
        <v>451</v>
      </c>
      <c r="D82" s="169" t="s">
        <v>167</v>
      </c>
      <c r="E82" s="170">
        <f>E77</f>
        <v>45.5</v>
      </c>
      <c r="F82" s="115"/>
      <c r="G82" s="143"/>
      <c r="H82" s="115"/>
      <c r="I82" s="143"/>
      <c r="J82" s="143"/>
      <c r="K82" s="143"/>
      <c r="L82" s="143"/>
      <c r="M82" s="143"/>
      <c r="N82" s="143"/>
      <c r="O82" s="143"/>
      <c r="P82" s="143"/>
    </row>
    <row r="83" spans="1:16" s="31" customFormat="1" ht="31.5" customHeight="1">
      <c r="A83" s="140" t="s">
        <v>1433</v>
      </c>
      <c r="B83" s="37"/>
      <c r="C83" s="79" t="s">
        <v>453</v>
      </c>
      <c r="D83" s="37" t="s">
        <v>74</v>
      </c>
      <c r="E83" s="93">
        <v>25</v>
      </c>
      <c r="F83" s="93"/>
      <c r="G83" s="93"/>
      <c r="H83" s="80"/>
      <c r="I83" s="80"/>
      <c r="J83" s="80"/>
      <c r="K83" s="80"/>
      <c r="L83" s="80"/>
      <c r="M83" s="80"/>
      <c r="N83" s="80"/>
      <c r="O83" s="80"/>
      <c r="P83" s="80"/>
    </row>
    <row r="84" spans="1:16" s="144" customFormat="1" ht="16.5" customHeight="1">
      <c r="A84" s="140" t="s">
        <v>1434</v>
      </c>
      <c r="B84" s="169"/>
      <c r="C84" s="116" t="s">
        <v>455</v>
      </c>
      <c r="D84" s="169" t="s">
        <v>77</v>
      </c>
      <c r="E84" s="170">
        <v>20</v>
      </c>
      <c r="F84" s="115"/>
      <c r="G84" s="143"/>
      <c r="H84" s="115"/>
      <c r="I84" s="143"/>
      <c r="J84" s="143"/>
      <c r="K84" s="143"/>
      <c r="L84" s="143"/>
      <c r="M84" s="143"/>
      <c r="N84" s="143"/>
      <c r="O84" s="143"/>
      <c r="P84" s="143"/>
    </row>
    <row r="85" spans="1:16" s="144" customFormat="1" ht="16.5" customHeight="1">
      <c r="A85" s="140" t="s">
        <v>1435</v>
      </c>
      <c r="B85" s="169"/>
      <c r="C85" s="116" t="s">
        <v>457</v>
      </c>
      <c r="D85" s="169" t="s">
        <v>135</v>
      </c>
      <c r="E85" s="170">
        <f>SUM(E83*0.01)</f>
        <v>0.25</v>
      </c>
      <c r="F85" s="115"/>
      <c r="G85" s="143"/>
      <c r="H85" s="115"/>
      <c r="I85" s="143"/>
      <c r="J85" s="143"/>
      <c r="K85" s="143"/>
      <c r="L85" s="143"/>
      <c r="M85" s="143"/>
      <c r="N85" s="143"/>
      <c r="O85" s="143"/>
      <c r="P85" s="143"/>
    </row>
    <row r="86" spans="1:16" s="144" customFormat="1" ht="15" customHeight="1">
      <c r="A86" s="140" t="s">
        <v>1436</v>
      </c>
      <c r="B86" s="169"/>
      <c r="C86" s="116" t="s">
        <v>459</v>
      </c>
      <c r="D86" s="169" t="s">
        <v>151</v>
      </c>
      <c r="E86" s="170">
        <f>SUM(E83*1.2)</f>
        <v>30</v>
      </c>
      <c r="F86" s="115"/>
      <c r="G86" s="143"/>
      <c r="H86" s="115"/>
      <c r="I86" s="143"/>
      <c r="J86" s="143"/>
      <c r="K86" s="143"/>
      <c r="L86" s="143"/>
      <c r="M86" s="143"/>
      <c r="N86" s="143"/>
      <c r="O86" s="143"/>
      <c r="P86" s="143"/>
    </row>
    <row r="87" spans="1:16" s="144" customFormat="1" ht="15" customHeight="1">
      <c r="A87" s="140" t="s">
        <v>1437</v>
      </c>
      <c r="B87" s="169"/>
      <c r="C87" s="116" t="s">
        <v>162</v>
      </c>
      <c r="D87" s="169" t="s">
        <v>151</v>
      </c>
      <c r="E87" s="170">
        <f>SUM(E83)</f>
        <v>25</v>
      </c>
      <c r="F87" s="115"/>
      <c r="G87" s="143"/>
      <c r="H87" s="115"/>
      <c r="I87" s="143"/>
      <c r="J87" s="143"/>
      <c r="K87" s="143"/>
      <c r="L87" s="143"/>
      <c r="M87" s="143"/>
      <c r="N87" s="143"/>
      <c r="O87" s="143"/>
      <c r="P87" s="143"/>
    </row>
    <row r="88" spans="1:16" s="144" customFormat="1" ht="16.5" customHeight="1">
      <c r="A88" s="73"/>
      <c r="B88" s="169"/>
      <c r="C88" s="139" t="s">
        <v>461</v>
      </c>
      <c r="D88" s="169"/>
      <c r="E88" s="170"/>
      <c r="F88" s="170"/>
      <c r="G88" s="170"/>
      <c r="H88" s="143"/>
      <c r="I88" s="143"/>
      <c r="J88" s="143"/>
      <c r="K88" s="143"/>
      <c r="L88" s="143"/>
      <c r="M88" s="143"/>
      <c r="N88" s="143"/>
      <c r="O88" s="143"/>
      <c r="P88" s="143"/>
    </row>
    <row r="89" spans="1:16" s="61" customFormat="1" ht="28.5" customHeight="1">
      <c r="A89" s="73" t="s">
        <v>1438</v>
      </c>
      <c r="B89" s="176"/>
      <c r="C89" s="177" t="s">
        <v>463</v>
      </c>
      <c r="D89" s="71" t="s">
        <v>77</v>
      </c>
      <c r="E89" s="72">
        <v>13</v>
      </c>
      <c r="F89" s="111"/>
      <c r="G89" s="80"/>
      <c r="H89" s="111"/>
      <c r="I89" s="78"/>
      <c r="J89" s="80"/>
      <c r="K89" s="111"/>
      <c r="L89" s="111"/>
      <c r="M89" s="111"/>
      <c r="N89" s="111"/>
      <c r="O89" s="111"/>
      <c r="P89" s="111"/>
    </row>
    <row r="90" spans="1:16" s="61" customFormat="1" ht="24">
      <c r="A90" s="73" t="s">
        <v>1439</v>
      </c>
      <c r="B90" s="176"/>
      <c r="C90" s="177" t="s">
        <v>465</v>
      </c>
      <c r="D90" s="71" t="s">
        <v>77</v>
      </c>
      <c r="E90" s="72">
        <v>13</v>
      </c>
      <c r="F90" s="111"/>
      <c r="G90" s="80"/>
      <c r="H90" s="111"/>
      <c r="I90" s="78"/>
      <c r="J90" s="80"/>
      <c r="K90" s="111"/>
      <c r="L90" s="111"/>
      <c r="M90" s="111"/>
      <c r="N90" s="111"/>
      <c r="O90" s="111"/>
      <c r="P90" s="111"/>
    </row>
    <row r="91" spans="1:16" s="61" customFormat="1" ht="22.5" customHeight="1">
      <c r="A91" s="73" t="s">
        <v>1440</v>
      </c>
      <c r="B91" s="178"/>
      <c r="C91" s="89" t="s">
        <v>472</v>
      </c>
      <c r="D91" s="71" t="s">
        <v>77</v>
      </c>
      <c r="E91" s="72">
        <v>12</v>
      </c>
      <c r="F91" s="111"/>
      <c r="G91" s="80"/>
      <c r="H91" s="111"/>
      <c r="I91" s="78"/>
      <c r="J91" s="80"/>
      <c r="K91" s="111"/>
      <c r="L91" s="111"/>
      <c r="M91" s="111"/>
      <c r="N91" s="111"/>
      <c r="O91" s="111"/>
      <c r="P91" s="111"/>
    </row>
    <row r="92" spans="1:16" s="109" customFormat="1" ht="16.5" customHeight="1">
      <c r="A92" s="140" t="s">
        <v>1441</v>
      </c>
      <c r="B92" s="179"/>
      <c r="C92" s="180" t="s">
        <v>474</v>
      </c>
      <c r="D92" s="113" t="s">
        <v>77</v>
      </c>
      <c r="E92" s="114">
        <v>12</v>
      </c>
      <c r="F92" s="115"/>
      <c r="G92" s="143"/>
      <c r="H92" s="115"/>
      <c r="I92" s="115"/>
      <c r="J92" s="115"/>
      <c r="K92" s="115"/>
      <c r="L92" s="115"/>
      <c r="M92" s="115"/>
      <c r="N92" s="115"/>
      <c r="O92" s="115"/>
      <c r="P92" s="115"/>
    </row>
    <row r="93" spans="1:16" s="109" customFormat="1" ht="16.5" customHeight="1">
      <c r="A93" s="140" t="s">
        <v>1442</v>
      </c>
      <c r="B93" s="179"/>
      <c r="C93" s="180" t="s">
        <v>162</v>
      </c>
      <c r="D93" s="113" t="s">
        <v>306</v>
      </c>
      <c r="E93" s="114">
        <v>1</v>
      </c>
      <c r="F93" s="115"/>
      <c r="G93" s="143"/>
      <c r="H93" s="115"/>
      <c r="I93" s="108"/>
      <c r="J93" s="115"/>
      <c r="K93" s="115"/>
      <c r="L93" s="115"/>
      <c r="M93" s="115"/>
      <c r="N93" s="115"/>
      <c r="O93" s="115"/>
      <c r="P93" s="115"/>
    </row>
    <row r="94" spans="1:16" s="109" customFormat="1" ht="15" customHeight="1">
      <c r="A94" s="73"/>
      <c r="B94" s="105"/>
      <c r="C94" s="139" t="s">
        <v>1443</v>
      </c>
      <c r="D94" s="105"/>
      <c r="E94" s="107"/>
      <c r="F94" s="108"/>
      <c r="G94" s="108"/>
      <c r="H94" s="117"/>
      <c r="I94" s="117"/>
      <c r="J94" s="117"/>
      <c r="K94" s="117"/>
      <c r="L94" s="117"/>
      <c r="M94" s="117"/>
      <c r="N94" s="117"/>
      <c r="O94" s="117"/>
      <c r="P94" s="117"/>
    </row>
    <row r="95" spans="1:16" s="61" customFormat="1" ht="15" customHeight="1">
      <c r="A95" s="73" t="s">
        <v>1444</v>
      </c>
      <c r="B95" s="87"/>
      <c r="C95" s="79" t="s">
        <v>1445</v>
      </c>
      <c r="D95" s="87" t="s">
        <v>203</v>
      </c>
      <c r="E95" s="77">
        <v>2</v>
      </c>
      <c r="F95" s="111"/>
      <c r="G95" s="80"/>
      <c r="H95" s="111"/>
      <c r="I95" s="78"/>
      <c r="J95" s="80"/>
      <c r="K95" s="111"/>
      <c r="L95" s="111"/>
      <c r="M95" s="111"/>
      <c r="N95" s="111"/>
      <c r="O95" s="111"/>
      <c r="P95" s="111"/>
    </row>
    <row r="96" spans="1:16" s="109" customFormat="1" ht="15" customHeight="1">
      <c r="A96" s="140" t="s">
        <v>1446</v>
      </c>
      <c r="B96" s="105"/>
      <c r="C96" s="116" t="s">
        <v>1447</v>
      </c>
      <c r="D96" s="105" t="s">
        <v>203</v>
      </c>
      <c r="E96" s="107">
        <v>2</v>
      </c>
      <c r="F96" s="108"/>
      <c r="G96" s="108"/>
      <c r="H96" s="108"/>
      <c r="I96" s="108"/>
      <c r="J96" s="143"/>
      <c r="K96" s="115"/>
      <c r="L96" s="115"/>
      <c r="M96" s="115"/>
      <c r="N96" s="115"/>
      <c r="O96" s="115"/>
      <c r="P96" s="115"/>
    </row>
    <row r="97" spans="1:16" s="109" customFormat="1" ht="15" customHeight="1">
      <c r="A97" s="140" t="s">
        <v>1448</v>
      </c>
      <c r="B97" s="105"/>
      <c r="C97" s="116" t="s">
        <v>1449</v>
      </c>
      <c r="D97" s="105" t="s">
        <v>203</v>
      </c>
      <c r="E97" s="107">
        <v>2</v>
      </c>
      <c r="F97" s="108"/>
      <c r="G97" s="108"/>
      <c r="H97" s="108"/>
      <c r="I97" s="108"/>
      <c r="J97" s="143"/>
      <c r="K97" s="115"/>
      <c r="L97" s="115"/>
      <c r="M97" s="115"/>
      <c r="N97" s="115"/>
      <c r="O97" s="115"/>
      <c r="P97" s="115"/>
    </row>
    <row r="98" spans="1:16" s="109" customFormat="1" ht="15" customHeight="1">
      <c r="A98" s="140" t="s">
        <v>1450</v>
      </c>
      <c r="B98" s="105"/>
      <c r="C98" s="116" t="s">
        <v>1451</v>
      </c>
      <c r="D98" s="105" t="s">
        <v>203</v>
      </c>
      <c r="E98" s="107">
        <v>2</v>
      </c>
      <c r="F98" s="108"/>
      <c r="G98" s="108"/>
      <c r="H98" s="108"/>
      <c r="I98" s="108"/>
      <c r="J98" s="143"/>
      <c r="K98" s="115"/>
      <c r="L98" s="115"/>
      <c r="M98" s="115"/>
      <c r="N98" s="115"/>
      <c r="O98" s="115"/>
      <c r="P98" s="115"/>
    </row>
    <row r="99" spans="1:16" s="109" customFormat="1" ht="15" customHeight="1">
      <c r="A99" s="140" t="s">
        <v>1452</v>
      </c>
      <c r="B99" s="105"/>
      <c r="C99" s="116" t="s">
        <v>162</v>
      </c>
      <c r="D99" s="105" t="s">
        <v>118</v>
      </c>
      <c r="E99" s="107">
        <v>2</v>
      </c>
      <c r="F99" s="108"/>
      <c r="G99" s="108"/>
      <c r="H99" s="108"/>
      <c r="I99" s="108"/>
      <c r="J99" s="143"/>
      <c r="K99" s="115"/>
      <c r="L99" s="115"/>
      <c r="M99" s="115"/>
      <c r="N99" s="115"/>
      <c r="O99" s="115"/>
      <c r="P99" s="115"/>
    </row>
    <row r="100" spans="1:16" s="109" customFormat="1" ht="18.75" customHeight="1">
      <c r="A100" s="73" t="s">
        <v>1453</v>
      </c>
      <c r="B100" s="105"/>
      <c r="C100" s="79" t="s">
        <v>540</v>
      </c>
      <c r="D100" s="87" t="s">
        <v>203</v>
      </c>
      <c r="E100" s="77">
        <v>3</v>
      </c>
      <c r="F100" s="78"/>
      <c r="G100" s="80"/>
      <c r="H100" s="78"/>
      <c r="I100" s="78"/>
      <c r="J100" s="80"/>
      <c r="K100" s="78"/>
      <c r="L100" s="78"/>
      <c r="M100" s="78"/>
      <c r="N100" s="78"/>
      <c r="O100" s="78"/>
      <c r="P100" s="78"/>
    </row>
    <row r="101" spans="1:16" s="109" customFormat="1" ht="15" customHeight="1">
      <c r="A101" s="140" t="s">
        <v>1454</v>
      </c>
      <c r="B101" s="105"/>
      <c r="C101" s="116" t="s">
        <v>1455</v>
      </c>
      <c r="D101" s="105" t="s">
        <v>203</v>
      </c>
      <c r="E101" s="107">
        <v>1</v>
      </c>
      <c r="F101" s="108"/>
      <c r="G101" s="108"/>
      <c r="H101" s="108"/>
      <c r="I101" s="108"/>
      <c r="J101" s="143"/>
      <c r="K101" s="108"/>
      <c r="L101" s="108"/>
      <c r="M101" s="108"/>
      <c r="N101" s="108"/>
      <c r="O101" s="108"/>
      <c r="P101" s="108"/>
    </row>
    <row r="102" spans="1:16" s="109" customFormat="1" ht="15" customHeight="1">
      <c r="A102" s="140" t="s">
        <v>1456</v>
      </c>
      <c r="B102" s="105"/>
      <c r="C102" s="116" t="s">
        <v>1457</v>
      </c>
      <c r="D102" s="105" t="s">
        <v>203</v>
      </c>
      <c r="E102" s="107">
        <v>1</v>
      </c>
      <c r="F102" s="108"/>
      <c r="G102" s="108"/>
      <c r="H102" s="108"/>
      <c r="I102" s="108"/>
      <c r="J102" s="143"/>
      <c r="K102" s="108"/>
      <c r="L102" s="108"/>
      <c r="M102" s="108"/>
      <c r="N102" s="108"/>
      <c r="O102" s="108"/>
      <c r="P102" s="108"/>
    </row>
    <row r="103" spans="1:16" s="109" customFormat="1" ht="15" customHeight="1">
      <c r="A103" s="140" t="s">
        <v>1458</v>
      </c>
      <c r="B103" s="105"/>
      <c r="C103" s="116" t="s">
        <v>1459</v>
      </c>
      <c r="D103" s="105" t="s">
        <v>203</v>
      </c>
      <c r="E103" s="107">
        <v>1</v>
      </c>
      <c r="F103" s="108"/>
      <c r="G103" s="108"/>
      <c r="H103" s="108"/>
      <c r="I103" s="108"/>
      <c r="J103" s="143"/>
      <c r="K103" s="108"/>
      <c r="L103" s="108"/>
      <c r="M103" s="108"/>
      <c r="N103" s="108"/>
      <c r="O103" s="108"/>
      <c r="P103" s="108"/>
    </row>
    <row r="104" spans="1:16" s="109" customFormat="1" ht="15" customHeight="1">
      <c r="A104" s="140" t="s">
        <v>1460</v>
      </c>
      <c r="B104" s="105"/>
      <c r="C104" s="116" t="s">
        <v>162</v>
      </c>
      <c r="D104" s="105" t="s">
        <v>118</v>
      </c>
      <c r="E104" s="107">
        <v>3</v>
      </c>
      <c r="F104" s="108"/>
      <c r="G104" s="108"/>
      <c r="H104" s="108"/>
      <c r="I104" s="108"/>
      <c r="J104" s="143"/>
      <c r="K104" s="108"/>
      <c r="L104" s="108"/>
      <c r="M104" s="108"/>
      <c r="N104" s="108"/>
      <c r="O104" s="108"/>
      <c r="P104" s="108"/>
    </row>
    <row r="105" spans="1:16" s="109" customFormat="1" ht="15" customHeight="1">
      <c r="A105" s="73"/>
      <c r="B105" s="105"/>
      <c r="C105" s="139" t="s">
        <v>1461</v>
      </c>
      <c r="D105" s="105"/>
      <c r="E105" s="107"/>
      <c r="F105" s="108"/>
      <c r="G105" s="108"/>
      <c r="H105" s="108"/>
      <c r="I105" s="108"/>
      <c r="J105" s="80"/>
      <c r="K105" s="78"/>
      <c r="L105" s="78"/>
      <c r="M105" s="78"/>
      <c r="N105" s="78"/>
      <c r="O105" s="78"/>
      <c r="P105" s="78"/>
    </row>
    <row r="106" spans="1:16" s="61" customFormat="1" ht="28.5" customHeight="1">
      <c r="A106" s="73" t="s">
        <v>1462</v>
      </c>
      <c r="B106" s="87"/>
      <c r="C106" s="79" t="s">
        <v>1463</v>
      </c>
      <c r="D106" s="87" t="s">
        <v>74</v>
      </c>
      <c r="E106" s="87">
        <v>38.72</v>
      </c>
      <c r="F106" s="87"/>
      <c r="G106" s="77"/>
      <c r="H106" s="78"/>
      <c r="I106" s="78"/>
      <c r="J106" s="78"/>
      <c r="K106" s="78"/>
      <c r="L106" s="78"/>
      <c r="M106" s="78"/>
      <c r="N106" s="78"/>
      <c r="O106" s="78"/>
      <c r="P106" s="78"/>
    </row>
    <row r="107" spans="1:16" s="109" customFormat="1" ht="15" customHeight="1">
      <c r="A107" s="140" t="s">
        <v>1464</v>
      </c>
      <c r="B107" s="105"/>
      <c r="C107" s="116" t="s">
        <v>174</v>
      </c>
      <c r="D107" s="105" t="s">
        <v>151</v>
      </c>
      <c r="E107" s="107">
        <f>SUM(E106*1.1)</f>
        <v>42.592</v>
      </c>
      <c r="F107" s="105"/>
      <c r="G107" s="107"/>
      <c r="H107" s="108"/>
      <c r="I107" s="108"/>
      <c r="J107" s="108"/>
      <c r="K107" s="108"/>
      <c r="L107" s="108"/>
      <c r="M107" s="108"/>
      <c r="N107" s="108"/>
      <c r="O107" s="108"/>
      <c r="P107" s="108"/>
    </row>
    <row r="108" spans="1:16" s="109" customFormat="1" ht="15" customHeight="1">
      <c r="A108" s="140" t="s">
        <v>1465</v>
      </c>
      <c r="B108" s="105"/>
      <c r="C108" s="116" t="s">
        <v>1466</v>
      </c>
      <c r="D108" s="105" t="s">
        <v>154</v>
      </c>
      <c r="E108" s="107">
        <f>SUM(E106*5)</f>
        <v>193.6</v>
      </c>
      <c r="F108" s="105"/>
      <c r="G108" s="107"/>
      <c r="H108" s="108"/>
      <c r="I108" s="108"/>
      <c r="J108" s="108"/>
      <c r="K108" s="108"/>
      <c r="L108" s="108"/>
      <c r="M108" s="108"/>
      <c r="N108" s="108"/>
      <c r="O108" s="108"/>
      <c r="P108" s="108"/>
    </row>
    <row r="109" spans="1:16" s="109" customFormat="1" ht="15" customHeight="1">
      <c r="A109" s="140" t="s">
        <v>1467</v>
      </c>
      <c r="B109" s="105"/>
      <c r="C109" s="116" t="s">
        <v>1468</v>
      </c>
      <c r="D109" s="105" t="s">
        <v>203</v>
      </c>
      <c r="E109" s="107">
        <f>SUM(E106*5)</f>
        <v>193.6</v>
      </c>
      <c r="F109" s="105"/>
      <c r="G109" s="107"/>
      <c r="H109" s="108"/>
      <c r="I109" s="108"/>
      <c r="J109" s="108"/>
      <c r="K109" s="108"/>
      <c r="L109" s="108"/>
      <c r="M109" s="108"/>
      <c r="N109" s="108"/>
      <c r="O109" s="108"/>
      <c r="P109" s="108"/>
    </row>
    <row r="110" spans="1:16" s="109" customFormat="1" ht="29.25" customHeight="1">
      <c r="A110" s="73" t="s">
        <v>1469</v>
      </c>
      <c r="B110" s="105"/>
      <c r="C110" s="79" t="s">
        <v>1470</v>
      </c>
      <c r="D110" s="87" t="s">
        <v>74</v>
      </c>
      <c r="E110" s="87">
        <f>E106</f>
        <v>38.72</v>
      </c>
      <c r="F110" s="87"/>
      <c r="G110" s="77"/>
      <c r="H110" s="78"/>
      <c r="I110" s="78"/>
      <c r="J110" s="78"/>
      <c r="K110" s="78"/>
      <c r="L110" s="78"/>
      <c r="M110" s="78"/>
      <c r="N110" s="78"/>
      <c r="O110" s="78"/>
      <c r="P110" s="78"/>
    </row>
    <row r="111" spans="1:16" s="109" customFormat="1" ht="15" customHeight="1">
      <c r="A111" s="140" t="s">
        <v>1471</v>
      </c>
      <c r="B111" s="105"/>
      <c r="C111" s="116" t="s">
        <v>1472</v>
      </c>
      <c r="D111" s="105" t="s">
        <v>151</v>
      </c>
      <c r="E111" s="107">
        <f>SUM(E110*1.1)</f>
        <v>42.592</v>
      </c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</row>
    <row r="112" spans="1:16" s="109" customFormat="1" ht="15" customHeight="1">
      <c r="A112" s="140" t="s">
        <v>1473</v>
      </c>
      <c r="B112" s="105"/>
      <c r="C112" s="116" t="s">
        <v>1474</v>
      </c>
      <c r="D112" s="105" t="s">
        <v>154</v>
      </c>
      <c r="E112" s="107">
        <f>SUM(E110*4)</f>
        <v>154.88</v>
      </c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</row>
    <row r="113" spans="1:16" s="109" customFormat="1" ht="15" customHeight="1">
      <c r="A113" s="140" t="s">
        <v>1475</v>
      </c>
      <c r="B113" s="105"/>
      <c r="C113" s="116" t="s">
        <v>1476</v>
      </c>
      <c r="D113" s="105" t="s">
        <v>77</v>
      </c>
      <c r="E113" s="107">
        <v>12</v>
      </c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</row>
    <row r="114" spans="1:16" s="61" customFormat="1" ht="17.25" customHeight="1">
      <c r="A114" s="73" t="s">
        <v>1477</v>
      </c>
      <c r="B114" s="87"/>
      <c r="C114" s="79" t="s">
        <v>1478</v>
      </c>
      <c r="D114" s="87" t="s">
        <v>74</v>
      </c>
      <c r="E114" s="87">
        <v>20.32</v>
      </c>
      <c r="F114" s="87"/>
      <c r="G114" s="77"/>
      <c r="H114" s="78"/>
      <c r="I114" s="78"/>
      <c r="J114" s="78"/>
      <c r="K114" s="78"/>
      <c r="L114" s="78"/>
      <c r="M114" s="78"/>
      <c r="N114" s="78"/>
      <c r="O114" s="78"/>
      <c r="P114" s="78"/>
    </row>
    <row r="115" spans="1:16" s="109" customFormat="1" ht="15" customHeight="1">
      <c r="A115" s="140" t="s">
        <v>1479</v>
      </c>
      <c r="B115" s="105"/>
      <c r="C115" s="116" t="s">
        <v>1480</v>
      </c>
      <c r="D115" s="105" t="s">
        <v>154</v>
      </c>
      <c r="E115" s="107">
        <f>SUM(E114*0.4)</f>
        <v>8.128</v>
      </c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</row>
    <row r="116" spans="1:16" s="109" customFormat="1" ht="15" customHeight="1">
      <c r="A116" s="140" t="s">
        <v>1481</v>
      </c>
      <c r="B116" s="105"/>
      <c r="C116" s="116" t="s">
        <v>605</v>
      </c>
      <c r="D116" s="105" t="s">
        <v>151</v>
      </c>
      <c r="E116" s="107">
        <f>SUM(E114*0.005)</f>
        <v>0.10160000000000001</v>
      </c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</row>
    <row r="117" spans="1:16" s="61" customFormat="1" ht="17.25" customHeight="1">
      <c r="A117" s="73" t="s">
        <v>1482</v>
      </c>
      <c r="B117" s="87"/>
      <c r="C117" s="79" t="s">
        <v>1483</v>
      </c>
      <c r="D117" s="87" t="s">
        <v>74</v>
      </c>
      <c r="E117" s="87">
        <v>20.32</v>
      </c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</row>
    <row r="118" spans="1:16" s="109" customFormat="1" ht="17.25" customHeight="1">
      <c r="A118" s="140" t="s">
        <v>1484</v>
      </c>
      <c r="B118" s="105"/>
      <c r="C118" s="116" t="s">
        <v>625</v>
      </c>
      <c r="D118" s="105" t="s">
        <v>504</v>
      </c>
      <c r="E118" s="107">
        <f>SUM(E117*0.2)</f>
        <v>4.064</v>
      </c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</row>
    <row r="119" spans="1:16" s="109" customFormat="1" ht="17.25" customHeight="1">
      <c r="A119" s="140" t="s">
        <v>1485</v>
      </c>
      <c r="B119" s="105"/>
      <c r="C119" s="116" t="s">
        <v>1486</v>
      </c>
      <c r="D119" s="105" t="s">
        <v>504</v>
      </c>
      <c r="E119" s="107">
        <f>SUM(E117*0.27)</f>
        <v>5.486400000000001</v>
      </c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</row>
    <row r="120" spans="1:16" s="109" customFormat="1" ht="15" customHeight="1">
      <c r="A120" s="73"/>
      <c r="B120" s="105"/>
      <c r="C120" s="139" t="s">
        <v>1487</v>
      </c>
      <c r="D120" s="105"/>
      <c r="E120" s="107"/>
      <c r="F120" s="108"/>
      <c r="G120" s="108"/>
      <c r="H120" s="117"/>
      <c r="I120" s="117"/>
      <c r="J120" s="117"/>
      <c r="K120" s="117"/>
      <c r="L120" s="117"/>
      <c r="M120" s="117"/>
      <c r="N120" s="117"/>
      <c r="O120" s="117"/>
      <c r="P120" s="117"/>
    </row>
    <row r="121" spans="1:16" s="109" customFormat="1" ht="15" customHeight="1">
      <c r="A121" s="73"/>
      <c r="B121" s="105"/>
      <c r="C121" s="346" t="s">
        <v>1488</v>
      </c>
      <c r="D121" s="105"/>
      <c r="E121" s="107"/>
      <c r="F121" s="108"/>
      <c r="G121" s="108"/>
      <c r="H121" s="117"/>
      <c r="I121" s="117"/>
      <c r="J121" s="117"/>
      <c r="K121" s="117"/>
      <c r="L121" s="117"/>
      <c r="M121" s="117"/>
      <c r="N121" s="117"/>
      <c r="O121" s="117"/>
      <c r="P121" s="117"/>
    </row>
    <row r="122" spans="1:16" s="109" customFormat="1" ht="41.25" customHeight="1">
      <c r="A122" s="73" t="s">
        <v>1489</v>
      </c>
      <c r="B122" s="105"/>
      <c r="C122" s="79" t="s">
        <v>316</v>
      </c>
      <c r="D122" s="87" t="s">
        <v>74</v>
      </c>
      <c r="E122" s="78">
        <v>19.4</v>
      </c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</row>
    <row r="123" spans="1:16" s="109" customFormat="1" ht="13.5" customHeight="1">
      <c r="A123" s="140" t="s">
        <v>1490</v>
      </c>
      <c r="B123" s="105"/>
      <c r="C123" s="116" t="s">
        <v>160</v>
      </c>
      <c r="D123" s="105" t="s">
        <v>135</v>
      </c>
      <c r="E123" s="108">
        <f>SUM(E122*0.04)*1.03</f>
        <v>0.7992799999999999</v>
      </c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</row>
    <row r="124" spans="1:16" s="51" customFormat="1" ht="15.75" customHeight="1">
      <c r="A124" s="73" t="s">
        <v>1491</v>
      </c>
      <c r="B124" s="66"/>
      <c r="C124" s="79" t="s">
        <v>575</v>
      </c>
      <c r="D124" s="87" t="s">
        <v>74</v>
      </c>
      <c r="E124" s="77">
        <v>37.3</v>
      </c>
      <c r="F124" s="78"/>
      <c r="G124" s="78"/>
      <c r="H124" s="78"/>
      <c r="I124" s="129"/>
      <c r="J124" s="78"/>
      <c r="K124" s="78"/>
      <c r="L124" s="78"/>
      <c r="M124" s="78"/>
      <c r="N124" s="78"/>
      <c r="O124" s="78"/>
      <c r="P124" s="78"/>
    </row>
    <row r="125" spans="1:16" s="165" customFormat="1" ht="15" customHeight="1">
      <c r="A125" s="140" t="s">
        <v>1492</v>
      </c>
      <c r="B125" s="105"/>
      <c r="C125" s="116" t="s">
        <v>577</v>
      </c>
      <c r="D125" s="105" t="s">
        <v>154</v>
      </c>
      <c r="E125" s="107">
        <f>SUM(E124*4)</f>
        <v>149.2</v>
      </c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</row>
    <row r="126" spans="1:16" s="165" customFormat="1" ht="15" customHeight="1">
      <c r="A126" s="140" t="s">
        <v>1493</v>
      </c>
      <c r="B126" s="105"/>
      <c r="C126" s="116" t="s">
        <v>579</v>
      </c>
      <c r="D126" s="105" t="s">
        <v>167</v>
      </c>
      <c r="E126" s="107">
        <f>SUM(E124*1.1)</f>
        <v>41.03</v>
      </c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</row>
    <row r="127" spans="1:16" s="165" customFormat="1" ht="15" customHeight="1">
      <c r="A127" s="140" t="s">
        <v>1494</v>
      </c>
      <c r="B127" s="105"/>
      <c r="C127" s="116" t="s">
        <v>581</v>
      </c>
      <c r="D127" s="105" t="s">
        <v>154</v>
      </c>
      <c r="E127" s="107">
        <f>SUM(E124*0.6)</f>
        <v>22.38</v>
      </c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</row>
    <row r="128" spans="1:16" s="164" customFormat="1" ht="16.5" customHeight="1">
      <c r="A128" s="73" t="s">
        <v>1495</v>
      </c>
      <c r="B128" s="87"/>
      <c r="C128" s="79" t="s">
        <v>591</v>
      </c>
      <c r="D128" s="87" t="s">
        <v>77</v>
      </c>
      <c r="E128" s="77">
        <v>40</v>
      </c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</row>
    <row r="129" spans="1:16" s="165" customFormat="1" ht="15" customHeight="1">
      <c r="A129" s="140" t="s">
        <v>1496</v>
      </c>
      <c r="B129" s="105"/>
      <c r="C129" s="116" t="s">
        <v>593</v>
      </c>
      <c r="D129" s="105" t="s">
        <v>77</v>
      </c>
      <c r="E129" s="107">
        <f>SUM(E128*1.05)</f>
        <v>42</v>
      </c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</row>
    <row r="130" spans="1:16" s="165" customFormat="1" ht="15" customHeight="1">
      <c r="A130" s="140" t="s">
        <v>1497</v>
      </c>
      <c r="B130" s="105"/>
      <c r="C130" s="116" t="s">
        <v>162</v>
      </c>
      <c r="D130" s="105" t="s">
        <v>77</v>
      </c>
      <c r="E130" s="107">
        <v>40</v>
      </c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</row>
    <row r="131" spans="1:16" s="165" customFormat="1" ht="15" customHeight="1">
      <c r="A131" s="140"/>
      <c r="B131" s="105"/>
      <c r="C131" s="346" t="s">
        <v>1498</v>
      </c>
      <c r="D131" s="105"/>
      <c r="E131" s="107"/>
      <c r="F131" s="108"/>
      <c r="G131" s="108"/>
      <c r="H131" s="108"/>
      <c r="I131" s="108"/>
      <c r="J131" s="108"/>
      <c r="K131" s="117"/>
      <c r="L131" s="117"/>
      <c r="M131" s="117"/>
      <c r="N131" s="117"/>
      <c r="O131" s="117"/>
      <c r="P131" s="117"/>
    </row>
    <row r="132" spans="1:16" s="61" customFormat="1" ht="27.75" customHeight="1">
      <c r="A132" s="73" t="s">
        <v>1499</v>
      </c>
      <c r="B132" s="87"/>
      <c r="C132" s="79" t="s">
        <v>597</v>
      </c>
      <c r="D132" s="87" t="s">
        <v>74</v>
      </c>
      <c r="E132" s="286">
        <v>90.9</v>
      </c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</row>
    <row r="133" spans="1:16" s="109" customFormat="1" ht="15.75" customHeight="1">
      <c r="A133" s="140" t="s">
        <v>1500</v>
      </c>
      <c r="B133" s="105"/>
      <c r="C133" s="116" t="s">
        <v>502</v>
      </c>
      <c r="D133" s="105" t="s">
        <v>135</v>
      </c>
      <c r="E133" s="107">
        <f>SUM(E132*0.02)*1.05</f>
        <v>1.9089</v>
      </c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</row>
    <row r="134" spans="1:16" s="61" customFormat="1" ht="40.5" customHeight="1">
      <c r="A134" s="73" t="s">
        <v>1501</v>
      </c>
      <c r="B134" s="87"/>
      <c r="C134" s="79" t="s">
        <v>1502</v>
      </c>
      <c r="D134" s="87" t="s">
        <v>74</v>
      </c>
      <c r="E134" s="286">
        <f>E132</f>
        <v>90.9</v>
      </c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</row>
    <row r="135" spans="1:16" s="109" customFormat="1" ht="16.5" customHeight="1">
      <c r="A135" s="140" t="s">
        <v>1503</v>
      </c>
      <c r="B135" s="105"/>
      <c r="C135" s="116" t="s">
        <v>503</v>
      </c>
      <c r="D135" s="105" t="s">
        <v>504</v>
      </c>
      <c r="E135" s="107">
        <f>SUM(E134*0.25)</f>
        <v>22.725</v>
      </c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</row>
    <row r="136" spans="1:16" s="109" customFormat="1" ht="15.75" customHeight="1">
      <c r="A136" s="140" t="s">
        <v>1504</v>
      </c>
      <c r="B136" s="105"/>
      <c r="C136" s="116" t="s">
        <v>603</v>
      </c>
      <c r="D136" s="105" t="s">
        <v>154</v>
      </c>
      <c r="E136" s="107">
        <f>SUM(E134*1.64)</f>
        <v>149.076</v>
      </c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</row>
    <row r="137" spans="1:16" s="109" customFormat="1" ht="15.75" customHeight="1">
      <c r="A137" s="140" t="s">
        <v>1505</v>
      </c>
      <c r="B137" s="105"/>
      <c r="C137" s="116" t="s">
        <v>605</v>
      </c>
      <c r="D137" s="105" t="s">
        <v>151</v>
      </c>
      <c r="E137" s="107">
        <f>SUM(E134*0.005)</f>
        <v>0.4545</v>
      </c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</row>
    <row r="138" spans="1:16" s="109" customFormat="1" ht="15.75" customHeight="1">
      <c r="A138" s="140" t="s">
        <v>1506</v>
      </c>
      <c r="B138" s="105"/>
      <c r="C138" s="116" t="s">
        <v>1507</v>
      </c>
      <c r="D138" s="105" t="s">
        <v>108</v>
      </c>
      <c r="E138" s="107">
        <v>1</v>
      </c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</row>
    <row r="139" spans="1:16" s="61" customFormat="1" ht="15" customHeight="1">
      <c r="A139" s="73" t="s">
        <v>1508</v>
      </c>
      <c r="B139" s="87"/>
      <c r="C139" s="79" t="s">
        <v>1509</v>
      </c>
      <c r="D139" s="87" t="s">
        <v>74</v>
      </c>
      <c r="E139" s="286">
        <v>90.9</v>
      </c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</row>
    <row r="140" spans="1:16" s="109" customFormat="1" ht="14.25" customHeight="1">
      <c r="A140" s="140" t="s">
        <v>1510</v>
      </c>
      <c r="B140" s="105"/>
      <c r="C140" s="116" t="s">
        <v>503</v>
      </c>
      <c r="D140" s="105" t="s">
        <v>504</v>
      </c>
      <c r="E140" s="107">
        <f>SUM(E139*0.15)</f>
        <v>13.635</v>
      </c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</row>
    <row r="141" spans="1:16" s="109" customFormat="1" ht="14.25" customHeight="1">
      <c r="A141" s="140" t="s">
        <v>1511</v>
      </c>
      <c r="B141" s="105"/>
      <c r="C141" s="116" t="s">
        <v>505</v>
      </c>
      <c r="D141" s="105" t="s">
        <v>504</v>
      </c>
      <c r="E141" s="107">
        <f>SUM(E139*0.25)</f>
        <v>22.725</v>
      </c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</row>
    <row r="142" spans="1:16" s="165" customFormat="1" ht="15" customHeight="1">
      <c r="A142" s="73"/>
      <c r="B142" s="105"/>
      <c r="C142" s="346" t="s">
        <v>644</v>
      </c>
      <c r="D142" s="105"/>
      <c r="E142" s="107"/>
      <c r="F142" s="108"/>
      <c r="G142" s="108"/>
      <c r="H142" s="108"/>
      <c r="I142" s="108"/>
      <c r="J142" s="108"/>
      <c r="K142" s="117"/>
      <c r="L142" s="117"/>
      <c r="M142" s="117"/>
      <c r="N142" s="117"/>
      <c r="O142" s="117"/>
      <c r="P142" s="117"/>
    </row>
    <row r="143" spans="1:16" s="61" customFormat="1" ht="30" customHeight="1">
      <c r="A143" s="73" t="s">
        <v>1512</v>
      </c>
      <c r="B143" s="87"/>
      <c r="C143" s="79" t="s">
        <v>646</v>
      </c>
      <c r="D143" s="87" t="s">
        <v>74</v>
      </c>
      <c r="E143" s="77">
        <v>17.92</v>
      </c>
      <c r="F143" s="77"/>
      <c r="G143" s="77"/>
      <c r="H143" s="78"/>
      <c r="I143" s="78"/>
      <c r="J143" s="78"/>
      <c r="K143" s="78"/>
      <c r="L143" s="78"/>
      <c r="M143" s="78"/>
      <c r="N143" s="78"/>
      <c r="O143" s="78"/>
      <c r="P143" s="78"/>
    </row>
    <row r="144" spans="1:16" s="109" customFormat="1" ht="15" customHeight="1">
      <c r="A144" s="140" t="s">
        <v>1513</v>
      </c>
      <c r="B144" s="105"/>
      <c r="C144" s="116" t="s">
        <v>503</v>
      </c>
      <c r="D144" s="105" t="s">
        <v>504</v>
      </c>
      <c r="E144" s="213">
        <f>SUM(E143*0.15)</f>
        <v>2.688</v>
      </c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</row>
    <row r="145" spans="1:16" s="109" customFormat="1" ht="15" customHeight="1">
      <c r="A145" s="140" t="s">
        <v>1514</v>
      </c>
      <c r="B145" s="105"/>
      <c r="C145" s="116" t="s">
        <v>649</v>
      </c>
      <c r="D145" s="105" t="s">
        <v>154</v>
      </c>
      <c r="E145" s="107">
        <f>SUM(E143*1.8)</f>
        <v>32.25600000000001</v>
      </c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</row>
    <row r="146" spans="1:16" s="109" customFormat="1" ht="15" customHeight="1">
      <c r="A146" s="140" t="s">
        <v>1515</v>
      </c>
      <c r="B146" s="105"/>
      <c r="C146" s="116" t="s">
        <v>605</v>
      </c>
      <c r="D146" s="105" t="s">
        <v>151</v>
      </c>
      <c r="E146" s="107">
        <f>SUM(E143*0.01)</f>
        <v>0.17920000000000003</v>
      </c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</row>
    <row r="147" spans="1:16" s="109" customFormat="1" ht="15" customHeight="1">
      <c r="A147" s="73" t="s">
        <v>1516</v>
      </c>
      <c r="B147" s="105"/>
      <c r="C147" s="79" t="s">
        <v>652</v>
      </c>
      <c r="D147" s="87" t="s">
        <v>74</v>
      </c>
      <c r="E147" s="77">
        <v>19.4</v>
      </c>
      <c r="F147" s="77"/>
      <c r="G147" s="77"/>
      <c r="H147" s="78"/>
      <c r="I147" s="78"/>
      <c r="J147" s="78"/>
      <c r="K147" s="78"/>
      <c r="L147" s="78"/>
      <c r="M147" s="78"/>
      <c r="N147" s="78"/>
      <c r="O147" s="78"/>
      <c r="P147" s="78"/>
    </row>
    <row r="148" spans="1:16" s="109" customFormat="1" ht="15" customHeight="1">
      <c r="A148" s="73" t="s">
        <v>1517</v>
      </c>
      <c r="B148" s="105"/>
      <c r="C148" s="79" t="s">
        <v>1518</v>
      </c>
      <c r="D148" s="87" t="s">
        <v>74</v>
      </c>
      <c r="E148" s="77">
        <v>19.4</v>
      </c>
      <c r="F148" s="77"/>
      <c r="G148" s="77"/>
      <c r="H148" s="78"/>
      <c r="I148" s="78"/>
      <c r="J148" s="78"/>
      <c r="K148" s="78"/>
      <c r="L148" s="78"/>
      <c r="M148" s="78"/>
      <c r="N148" s="78"/>
      <c r="O148" s="78"/>
      <c r="P148" s="78"/>
    </row>
    <row r="149" spans="1:16" s="109" customFormat="1" ht="15" customHeight="1">
      <c r="A149" s="73" t="s">
        <v>1519</v>
      </c>
      <c r="B149" s="105"/>
      <c r="C149" s="79" t="s">
        <v>656</v>
      </c>
      <c r="D149" s="87" t="s">
        <v>92</v>
      </c>
      <c r="E149" s="77">
        <f>E147+E143</f>
        <v>37.32</v>
      </c>
      <c r="F149" s="77"/>
      <c r="G149" s="77"/>
      <c r="H149" s="78"/>
      <c r="I149" s="78"/>
      <c r="J149" s="78"/>
      <c r="K149" s="78"/>
      <c r="L149" s="78"/>
      <c r="M149" s="78"/>
      <c r="N149" s="78"/>
      <c r="O149" s="78"/>
      <c r="P149" s="78"/>
    </row>
    <row r="150" spans="1:16" s="109" customFormat="1" ht="12.75" customHeight="1">
      <c r="A150" s="130"/>
      <c r="B150" s="131"/>
      <c r="C150" s="132"/>
      <c r="D150" s="131"/>
      <c r="E150" s="133"/>
      <c r="F150" s="131"/>
      <c r="G150" s="133"/>
      <c r="H150" s="134"/>
      <c r="I150" s="134"/>
      <c r="J150" s="134"/>
      <c r="K150" s="134"/>
      <c r="L150" s="134"/>
      <c r="M150" s="134"/>
      <c r="N150" s="134"/>
      <c r="O150" s="134"/>
      <c r="P150" s="134"/>
    </row>
  </sheetData>
  <mergeCells count="10">
    <mergeCell ref="N8:O8"/>
    <mergeCell ref="I9:P9"/>
    <mergeCell ref="A10:H10"/>
    <mergeCell ref="A11:A12"/>
    <mergeCell ref="B11:B12"/>
    <mergeCell ref="C11:C12"/>
    <mergeCell ref="D11:D12"/>
    <mergeCell ref="E11:E12"/>
    <mergeCell ref="F11:K11"/>
    <mergeCell ref="L11:P11"/>
  </mergeCells>
  <printOptions horizontalCentered="1"/>
  <pageMargins left="0.39375" right="0.39375" top="0.9840277777777777" bottom="0.5902777777777778" header="0.5118055555555555" footer="0.39375"/>
  <pageSetup horizontalDpi="300" verticalDpi="300" orientation="landscape" paperSize="9" scale="85"/>
  <headerFooter alignWithMargins="0">
    <oddFooter>&amp;CPage &amp;P&amp;R&amp;A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V26"/>
  <sheetViews>
    <sheetView zoomScaleSheetLayoutView="140" workbookViewId="0" topLeftCell="A1">
      <selection activeCell="A4" sqref="A4"/>
    </sheetView>
  </sheetViews>
  <sheetFormatPr defaultColWidth="9.140625" defaultRowHeight="12.75"/>
  <cols>
    <col min="1" max="1" width="7.140625" style="9" customWidth="1"/>
    <col min="2" max="2" width="5.00390625" style="9" customWidth="1"/>
    <col min="3" max="3" width="33.57421875" style="9" customWidth="1"/>
    <col min="4" max="4" width="7.140625" style="135" customWidth="1"/>
    <col min="5" max="10" width="8.57421875" style="9" customWidth="1"/>
    <col min="11" max="16" width="10.00390625" style="9" customWidth="1"/>
    <col min="17" max="16384" width="9.140625" style="9" customWidth="1"/>
  </cols>
  <sheetData>
    <row r="1" spans="1:16" ht="14.25">
      <c r="A1" s="58"/>
      <c r="B1" s="58"/>
      <c r="C1" s="58"/>
      <c r="D1" s="58"/>
      <c r="E1" s="58"/>
      <c r="F1" s="58"/>
      <c r="G1" s="58" t="s">
        <v>1520</v>
      </c>
      <c r="H1" s="58"/>
      <c r="I1" s="58"/>
      <c r="J1" s="58"/>
      <c r="K1" s="58"/>
      <c r="L1" s="58"/>
      <c r="M1" s="58"/>
      <c r="N1" s="58"/>
      <c r="O1" s="58"/>
      <c r="P1" s="58"/>
    </row>
    <row r="2" spans="1:16" ht="14.25">
      <c r="A2" s="59"/>
      <c r="B2" s="59"/>
      <c r="C2" s="59"/>
      <c r="D2" s="59"/>
      <c r="E2" s="59"/>
      <c r="F2" s="59"/>
      <c r="G2" s="59" t="s">
        <v>1521</v>
      </c>
      <c r="H2" s="59"/>
      <c r="I2" s="59"/>
      <c r="J2" s="59"/>
      <c r="K2" s="59"/>
      <c r="L2" s="59"/>
      <c r="M2" s="59"/>
      <c r="N2" s="59"/>
      <c r="O2" s="59"/>
      <c r="P2" s="59"/>
    </row>
    <row r="3" spans="1:16" ht="14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243" s="55" customFormat="1" ht="12.75" customHeight="1">
      <c r="A4" s="7" t="s">
        <v>23</v>
      </c>
      <c r="B4" s="8"/>
      <c r="C4"/>
      <c r="D4" s="7" t="s">
        <v>24</v>
      </c>
      <c r="E4" s="60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7"/>
      <c r="R4" s="7"/>
      <c r="S4" s="7"/>
      <c r="AG4" s="7"/>
      <c r="AH4" s="7"/>
      <c r="AI4" s="7"/>
      <c r="AW4" s="7"/>
      <c r="AX4" s="7"/>
      <c r="AY4" s="7"/>
      <c r="BM4" s="7"/>
      <c r="BN4" s="7"/>
      <c r="BO4" s="7"/>
      <c r="CC4" s="7"/>
      <c r="CD4" s="7"/>
      <c r="CE4" s="7"/>
      <c r="CS4" s="7"/>
      <c r="CT4" s="7"/>
      <c r="CU4" s="7"/>
      <c r="DI4" s="7"/>
      <c r="DJ4" s="7"/>
      <c r="DK4" s="7"/>
      <c r="DY4" s="7"/>
      <c r="DZ4" s="7"/>
      <c r="EA4" s="7"/>
      <c r="EO4" s="7"/>
      <c r="EP4" s="7"/>
      <c r="EQ4" s="7"/>
      <c r="FE4" s="7"/>
      <c r="FF4" s="7"/>
      <c r="FG4" s="7"/>
      <c r="FU4" s="7"/>
      <c r="FV4" s="7"/>
      <c r="FW4" s="7"/>
      <c r="GK4" s="7"/>
      <c r="GL4" s="7"/>
      <c r="GM4" s="7"/>
      <c r="HA4" s="7"/>
      <c r="HB4" s="7"/>
      <c r="HC4" s="7"/>
      <c r="HQ4" s="7"/>
      <c r="HR4" s="7"/>
      <c r="HS4" s="7"/>
      <c r="IG4" s="7"/>
      <c r="IH4" s="7"/>
      <c r="II4" s="7"/>
    </row>
    <row r="5" spans="1:243" s="55" customFormat="1" ht="12.75" customHeight="1">
      <c r="A5" s="7" t="s">
        <v>25</v>
      </c>
      <c r="B5" s="10"/>
      <c r="C5"/>
      <c r="D5" s="32" t="s">
        <v>26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7"/>
      <c r="R5" s="7"/>
      <c r="S5" s="7"/>
      <c r="AG5" s="7"/>
      <c r="AH5" s="7"/>
      <c r="AI5" s="7"/>
      <c r="AW5" s="7"/>
      <c r="AX5" s="7"/>
      <c r="AY5" s="7"/>
      <c r="BM5" s="7"/>
      <c r="BN5" s="7"/>
      <c r="BO5" s="7"/>
      <c r="CC5" s="7"/>
      <c r="CD5" s="7"/>
      <c r="CE5" s="7"/>
      <c r="CS5" s="7"/>
      <c r="CT5" s="7"/>
      <c r="CU5" s="7"/>
      <c r="DI5" s="7"/>
      <c r="DJ5" s="7"/>
      <c r="DK5" s="7"/>
      <c r="DY5" s="7"/>
      <c r="DZ5" s="7"/>
      <c r="EA5" s="7"/>
      <c r="EO5" s="7"/>
      <c r="EP5" s="7"/>
      <c r="EQ5" s="7"/>
      <c r="FE5" s="7"/>
      <c r="FF5" s="7"/>
      <c r="FG5" s="7"/>
      <c r="FU5" s="7"/>
      <c r="FV5" s="7"/>
      <c r="FW5" s="7"/>
      <c r="GK5" s="7"/>
      <c r="GL5" s="7"/>
      <c r="GM5" s="7"/>
      <c r="HA5" s="7"/>
      <c r="HB5" s="7"/>
      <c r="HC5" s="7"/>
      <c r="HQ5" s="7"/>
      <c r="HR5" s="7"/>
      <c r="HS5" s="7"/>
      <c r="IG5" s="7"/>
      <c r="IH5" s="7"/>
      <c r="II5" s="7"/>
    </row>
    <row r="6" spans="1:243" s="9" customFormat="1" ht="12.75" customHeight="1">
      <c r="A6" s="7" t="s">
        <v>4</v>
      </c>
      <c r="B6" s="8"/>
      <c r="C6"/>
      <c r="E6" s="8"/>
      <c r="Q6" s="7"/>
      <c r="R6" s="7"/>
      <c r="S6" s="7"/>
      <c r="AG6" s="7"/>
      <c r="AH6" s="7"/>
      <c r="AI6" s="7"/>
      <c r="AW6" s="7"/>
      <c r="AX6" s="7"/>
      <c r="AY6" s="7"/>
      <c r="BM6" s="7"/>
      <c r="BN6" s="7"/>
      <c r="BO6" s="7"/>
      <c r="CC6" s="7"/>
      <c r="CD6" s="7"/>
      <c r="CE6" s="7"/>
      <c r="CS6" s="7"/>
      <c r="CT6" s="7"/>
      <c r="CU6" s="7"/>
      <c r="DI6" s="7"/>
      <c r="DJ6" s="7"/>
      <c r="DK6" s="7"/>
      <c r="DY6" s="7"/>
      <c r="DZ6" s="7"/>
      <c r="EA6" s="7"/>
      <c r="EO6" s="7"/>
      <c r="EP6" s="7"/>
      <c r="EQ6" s="7"/>
      <c r="FE6" s="7"/>
      <c r="FF6" s="7"/>
      <c r="FG6" s="7"/>
      <c r="FU6" s="7"/>
      <c r="FV6" s="7"/>
      <c r="FW6" s="7"/>
      <c r="GK6" s="7"/>
      <c r="GL6" s="7"/>
      <c r="GM6" s="7"/>
      <c r="HA6" s="7"/>
      <c r="HB6" s="7"/>
      <c r="HC6" s="7"/>
      <c r="HQ6" s="7"/>
      <c r="HR6" s="7"/>
      <c r="HS6" s="7"/>
      <c r="IG6" s="7"/>
      <c r="IH6" s="7"/>
      <c r="II6" s="7"/>
    </row>
    <row r="7" spans="1:16" s="7" customFormat="1" ht="12.75" customHeight="1">
      <c r="A7" s="10" t="s">
        <v>5</v>
      </c>
      <c r="B7" s="11"/>
      <c r="C7"/>
      <c r="D7" s="9" t="s">
        <v>6</v>
      </c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256" s="7" customFormat="1" ht="12.75" customHeight="1">
      <c r="A8" s="7" t="s">
        <v>7</v>
      </c>
      <c r="B8" s="10"/>
      <c r="C8"/>
      <c r="D8" s="51" t="s">
        <v>8</v>
      </c>
      <c r="E8" s="9"/>
      <c r="F8" s="10"/>
      <c r="G8" s="10"/>
      <c r="H8" s="10"/>
      <c r="I8" s="61"/>
      <c r="J8" s="61"/>
      <c r="K8" s="62"/>
      <c r="L8" s="61"/>
      <c r="M8" s="61"/>
      <c r="N8" s="63"/>
      <c r="O8" s="63"/>
      <c r="P8" s="61"/>
      <c r="Y8" s="61"/>
      <c r="Z8" s="61"/>
      <c r="AA8" s="62"/>
      <c r="AB8" s="62"/>
      <c r="AC8" s="61"/>
      <c r="AD8" s="63"/>
      <c r="AE8" s="63"/>
      <c r="AF8" s="61"/>
      <c r="AO8" s="61"/>
      <c r="AP8" s="61"/>
      <c r="AQ8" s="62"/>
      <c r="AR8" s="62"/>
      <c r="AS8" s="61"/>
      <c r="AT8" s="63"/>
      <c r="AU8" s="63"/>
      <c r="AV8" s="61"/>
      <c r="BE8" s="61"/>
      <c r="BF8" s="61"/>
      <c r="BG8" s="62"/>
      <c r="BH8" s="62"/>
      <c r="BI8" s="61"/>
      <c r="BJ8" s="63"/>
      <c r="BK8" s="63"/>
      <c r="BL8" s="61"/>
      <c r="BU8" s="61"/>
      <c r="BV8" s="61"/>
      <c r="BW8" s="62"/>
      <c r="BX8" s="62"/>
      <c r="BY8" s="61"/>
      <c r="BZ8" s="63"/>
      <c r="CA8" s="63"/>
      <c r="CB8" s="61"/>
      <c r="CK8" s="61"/>
      <c r="CL8" s="61"/>
      <c r="CM8" s="62"/>
      <c r="CN8" s="62"/>
      <c r="CO8" s="61"/>
      <c r="CP8" s="63"/>
      <c r="CQ8" s="63"/>
      <c r="CR8" s="61"/>
      <c r="DA8" s="61"/>
      <c r="DB8" s="61"/>
      <c r="DC8" s="62"/>
      <c r="DD8" s="62"/>
      <c r="DE8" s="61"/>
      <c r="DF8" s="63"/>
      <c r="DG8" s="63"/>
      <c r="DH8" s="61"/>
      <c r="DQ8" s="61"/>
      <c r="DR8" s="61"/>
      <c r="DS8" s="62"/>
      <c r="DT8" s="62"/>
      <c r="DU8" s="61"/>
      <c r="DV8" s="63"/>
      <c r="DW8" s="63"/>
      <c r="DX8" s="61"/>
      <c r="EG8" s="61"/>
      <c r="EH8" s="61"/>
      <c r="EI8" s="62"/>
      <c r="EJ8" s="62"/>
      <c r="EK8" s="61"/>
      <c r="EL8" s="63"/>
      <c r="EM8" s="63"/>
      <c r="EN8" s="61"/>
      <c r="EW8" s="61"/>
      <c r="EX8" s="61"/>
      <c r="EY8" s="62"/>
      <c r="EZ8" s="62"/>
      <c r="FA8" s="61"/>
      <c r="FB8" s="63"/>
      <c r="FC8" s="63"/>
      <c r="FD8" s="61"/>
      <c r="FM8" s="61"/>
      <c r="FN8" s="61"/>
      <c r="FO8" s="62"/>
      <c r="FP8" s="62"/>
      <c r="FQ8" s="61"/>
      <c r="FR8" s="63"/>
      <c r="FS8" s="63"/>
      <c r="FT8" s="61"/>
      <c r="GC8" s="61"/>
      <c r="GD8" s="61"/>
      <c r="GE8" s="62"/>
      <c r="GF8" s="62"/>
      <c r="GG8" s="61"/>
      <c r="GH8" s="63"/>
      <c r="GI8" s="63"/>
      <c r="GJ8" s="61"/>
      <c r="GS8" s="61"/>
      <c r="GT8" s="61"/>
      <c r="GU8" s="62"/>
      <c r="GV8" s="62"/>
      <c r="GW8" s="61"/>
      <c r="GX8" s="63"/>
      <c r="GY8" s="63"/>
      <c r="GZ8" s="61"/>
      <c r="HI8" s="61"/>
      <c r="HJ8" s="61"/>
      <c r="HK8" s="62"/>
      <c r="HL8" s="62"/>
      <c r="HM8" s="61"/>
      <c r="HN8" s="63"/>
      <c r="HO8" s="63"/>
      <c r="HP8" s="61"/>
      <c r="HY8" s="61"/>
      <c r="HZ8" s="61"/>
      <c r="IA8" s="62"/>
      <c r="IB8" s="62"/>
      <c r="IC8" s="61"/>
      <c r="ID8" s="63"/>
      <c r="IE8" s="63"/>
      <c r="IF8" s="61"/>
      <c r="IO8" s="61"/>
      <c r="IP8" s="61"/>
      <c r="IQ8" s="62"/>
      <c r="IR8" s="62"/>
      <c r="IS8" s="61"/>
      <c r="IT8" s="63"/>
      <c r="IU8" s="63"/>
      <c r="IV8" s="61"/>
    </row>
    <row r="9" spans="1:248" s="7" customFormat="1" ht="12.75" customHeight="1">
      <c r="A9" s="7" t="s">
        <v>9</v>
      </c>
      <c r="B9" s="8"/>
      <c r="C9"/>
      <c r="D9" s="7" t="s">
        <v>10</v>
      </c>
      <c r="E9" s="10"/>
      <c r="F9" s="9"/>
      <c r="G9" s="9"/>
      <c r="H9" s="9"/>
      <c r="Q9" s="9"/>
      <c r="R9" s="9"/>
      <c r="S9" s="9"/>
      <c r="T9" s="135"/>
      <c r="U9" s="9"/>
      <c r="V9" s="9"/>
      <c r="W9" s="9"/>
      <c r="X9" s="9"/>
      <c r="AG9" s="9"/>
      <c r="AH9" s="9"/>
      <c r="AI9" s="9"/>
      <c r="AJ9" s="135"/>
      <c r="AK9" s="9"/>
      <c r="AL9" s="9"/>
      <c r="AM9" s="9"/>
      <c r="AN9" s="9"/>
      <c r="AW9" s="9"/>
      <c r="AX9" s="9"/>
      <c r="AY9" s="9"/>
      <c r="AZ9" s="135"/>
      <c r="BA9" s="9"/>
      <c r="BB9" s="9"/>
      <c r="BC9" s="9"/>
      <c r="BD9" s="9"/>
      <c r="BM9" s="9"/>
      <c r="BN9" s="9"/>
      <c r="BO9" s="9"/>
      <c r="BP9" s="135"/>
      <c r="BQ9" s="9"/>
      <c r="BR9" s="9"/>
      <c r="BS9" s="9"/>
      <c r="BT9" s="9"/>
      <c r="CC9" s="9"/>
      <c r="CD9" s="9"/>
      <c r="CE9" s="9"/>
      <c r="CF9" s="135"/>
      <c r="CG9" s="9"/>
      <c r="CH9" s="9"/>
      <c r="CI9" s="9"/>
      <c r="CJ9" s="9"/>
      <c r="CS9" s="9"/>
      <c r="CT9" s="9"/>
      <c r="CU9" s="9"/>
      <c r="CV9" s="135"/>
      <c r="CW9" s="9"/>
      <c r="CX9" s="9"/>
      <c r="CY9" s="9"/>
      <c r="CZ9" s="9"/>
      <c r="DI9" s="9"/>
      <c r="DJ9" s="9"/>
      <c r="DK9" s="9"/>
      <c r="DL9" s="135"/>
      <c r="DM9" s="9"/>
      <c r="DN9" s="9"/>
      <c r="DO9" s="9"/>
      <c r="DP9" s="9"/>
      <c r="DY9" s="9"/>
      <c r="DZ9" s="9"/>
      <c r="EA9" s="9"/>
      <c r="EB9" s="135"/>
      <c r="EC9" s="9"/>
      <c r="ED9" s="9"/>
      <c r="EE9" s="9"/>
      <c r="EF9" s="9"/>
      <c r="EO9" s="9"/>
      <c r="EP9" s="9"/>
      <c r="EQ9" s="9"/>
      <c r="ER9" s="135"/>
      <c r="ES9" s="9"/>
      <c r="ET9" s="9"/>
      <c r="EU9" s="9"/>
      <c r="EV9" s="9"/>
      <c r="FE9" s="9"/>
      <c r="FF9" s="9"/>
      <c r="FG9" s="9"/>
      <c r="FH9" s="135"/>
      <c r="FI9" s="9"/>
      <c r="FJ9" s="9"/>
      <c r="FK9" s="9"/>
      <c r="FL9" s="9"/>
      <c r="FU9" s="9"/>
      <c r="FV9" s="9"/>
      <c r="FW9" s="9"/>
      <c r="FX9" s="135"/>
      <c r="FY9" s="9"/>
      <c r="FZ9" s="9"/>
      <c r="GA9" s="9"/>
      <c r="GB9" s="9"/>
      <c r="GK9" s="9"/>
      <c r="GL9" s="9"/>
      <c r="GM9" s="9"/>
      <c r="GN9" s="135"/>
      <c r="GO9" s="9"/>
      <c r="GP9" s="9"/>
      <c r="GQ9" s="9"/>
      <c r="GR9" s="9"/>
      <c r="HA9" s="9"/>
      <c r="HB9" s="9"/>
      <c r="HC9" s="9"/>
      <c r="HD9" s="135"/>
      <c r="HE9" s="9"/>
      <c r="HF9" s="9"/>
      <c r="HG9" s="9"/>
      <c r="HH9" s="9"/>
      <c r="HQ9" s="9"/>
      <c r="HR9" s="9"/>
      <c r="HS9" s="9"/>
      <c r="HT9" s="135"/>
      <c r="HU9" s="9"/>
      <c r="HV9" s="9"/>
      <c r="HW9" s="9"/>
      <c r="HX9" s="9"/>
      <c r="IG9" s="9"/>
      <c r="IH9" s="9"/>
      <c r="II9" s="9"/>
      <c r="IJ9" s="135"/>
      <c r="IK9" s="9"/>
      <c r="IL9" s="9"/>
      <c r="IM9" s="9"/>
      <c r="IN9" s="9"/>
    </row>
    <row r="10" spans="1:248" ht="12.75" customHeight="1">
      <c r="A10" s="7"/>
      <c r="B10" s="7"/>
      <c r="C10" s="7"/>
      <c r="D10" s="7"/>
      <c r="E10" s="7"/>
      <c r="F10" s="7"/>
      <c r="G10" s="7"/>
      <c r="H10" s="7"/>
      <c r="Q10" s="7"/>
      <c r="R10" s="7"/>
      <c r="S10" s="7"/>
      <c r="T10" s="7"/>
      <c r="U10" s="7"/>
      <c r="V10" s="7"/>
      <c r="W10" s="7"/>
      <c r="X10" s="7"/>
      <c r="AG10" s="7"/>
      <c r="AH10" s="7"/>
      <c r="AI10" s="7"/>
      <c r="AJ10" s="7"/>
      <c r="AK10" s="7"/>
      <c r="AL10" s="7"/>
      <c r="AM10" s="7"/>
      <c r="AN10" s="7"/>
      <c r="AW10" s="7"/>
      <c r="AX10" s="7"/>
      <c r="AY10" s="7"/>
      <c r="AZ10" s="7"/>
      <c r="BA10" s="7"/>
      <c r="BB10" s="7"/>
      <c r="BC10" s="7"/>
      <c r="BD10" s="7"/>
      <c r="BM10" s="7"/>
      <c r="BN10" s="7"/>
      <c r="BO10" s="7"/>
      <c r="BP10" s="7"/>
      <c r="BQ10" s="7"/>
      <c r="BR10" s="7"/>
      <c r="BS10" s="7"/>
      <c r="BT10" s="7"/>
      <c r="CC10" s="7"/>
      <c r="CD10" s="7"/>
      <c r="CE10" s="7"/>
      <c r="CF10" s="7"/>
      <c r="CG10" s="7"/>
      <c r="CH10" s="7"/>
      <c r="CI10" s="7"/>
      <c r="CJ10" s="7"/>
      <c r="CS10" s="7"/>
      <c r="CT10" s="7"/>
      <c r="CU10" s="7"/>
      <c r="CV10" s="7"/>
      <c r="CW10" s="7"/>
      <c r="CX10" s="7"/>
      <c r="CY10" s="7"/>
      <c r="CZ10" s="7"/>
      <c r="DI10" s="7"/>
      <c r="DJ10" s="7"/>
      <c r="DK10" s="7"/>
      <c r="DL10" s="7"/>
      <c r="DM10" s="7"/>
      <c r="DN10" s="7"/>
      <c r="DO10" s="7"/>
      <c r="DP10" s="7"/>
      <c r="DY10" s="7"/>
      <c r="DZ10" s="7"/>
      <c r="EA10" s="7"/>
      <c r="EB10" s="7"/>
      <c r="EC10" s="7"/>
      <c r="ED10" s="7"/>
      <c r="EE10" s="7"/>
      <c r="EF10" s="7"/>
      <c r="EO10" s="7"/>
      <c r="EP10" s="7"/>
      <c r="EQ10" s="7"/>
      <c r="ER10" s="7"/>
      <c r="ES10" s="7"/>
      <c r="ET10" s="7"/>
      <c r="EU10" s="7"/>
      <c r="EV10" s="7"/>
      <c r="FE10" s="7"/>
      <c r="FF10" s="7"/>
      <c r="FG10" s="7"/>
      <c r="FH10" s="7"/>
      <c r="FI10" s="7"/>
      <c r="FJ10" s="7"/>
      <c r="FK10" s="7"/>
      <c r="FL10" s="7"/>
      <c r="FU10" s="7"/>
      <c r="FV10" s="7"/>
      <c r="FW10" s="7"/>
      <c r="FX10" s="7"/>
      <c r="FY10" s="7"/>
      <c r="FZ10" s="7"/>
      <c r="GA10" s="7"/>
      <c r="GB10" s="7"/>
      <c r="GK10" s="7"/>
      <c r="GL10" s="7"/>
      <c r="GM10" s="7"/>
      <c r="GN10" s="7"/>
      <c r="GO10" s="7"/>
      <c r="GP10" s="7"/>
      <c r="GQ10" s="7"/>
      <c r="GR10" s="7"/>
      <c r="HA10" s="7"/>
      <c r="HB10" s="7"/>
      <c r="HC10" s="7"/>
      <c r="HD10" s="7"/>
      <c r="HE10" s="7"/>
      <c r="HF10" s="7"/>
      <c r="HG10" s="7"/>
      <c r="HH10" s="7"/>
      <c r="HQ10" s="7"/>
      <c r="HR10" s="7"/>
      <c r="HS10" s="7"/>
      <c r="HT10" s="7"/>
      <c r="HU10" s="7"/>
      <c r="HV10" s="7"/>
      <c r="HW10" s="7"/>
      <c r="HX10" s="7"/>
      <c r="IG10" s="7"/>
      <c r="IH10" s="7"/>
      <c r="II10" s="7"/>
      <c r="IJ10" s="7"/>
      <c r="IK10" s="7"/>
      <c r="IL10" s="7"/>
      <c r="IM10" s="7"/>
      <c r="IN10" s="7"/>
    </row>
    <row r="11" spans="1:16" ht="15" customHeight="1">
      <c r="A11" s="39" t="s">
        <v>56</v>
      </c>
      <c r="B11" s="65" t="s">
        <v>57</v>
      </c>
      <c r="C11" s="66" t="s">
        <v>58</v>
      </c>
      <c r="D11" s="65" t="s">
        <v>59</v>
      </c>
      <c r="E11" s="65" t="s">
        <v>60</v>
      </c>
      <c r="F11" s="66" t="s">
        <v>61</v>
      </c>
      <c r="G11" s="66"/>
      <c r="H11" s="66"/>
      <c r="I11" s="66"/>
      <c r="J11" s="66"/>
      <c r="K11" s="66"/>
      <c r="L11" s="66" t="s">
        <v>62</v>
      </c>
      <c r="M11" s="66" t="s">
        <v>62</v>
      </c>
      <c r="N11" s="66"/>
      <c r="O11" s="66"/>
      <c r="P11" s="66"/>
    </row>
    <row r="12" spans="1:16" ht="57.75" customHeight="1">
      <c r="A12" s="39"/>
      <c r="B12" s="65"/>
      <c r="C12" s="66"/>
      <c r="D12" s="65"/>
      <c r="E12" s="65"/>
      <c r="F12" s="65" t="s">
        <v>63</v>
      </c>
      <c r="G12" s="65" t="s">
        <v>64</v>
      </c>
      <c r="H12" s="65" t="s">
        <v>65</v>
      </c>
      <c r="I12" s="65" t="s">
        <v>66</v>
      </c>
      <c r="J12" s="65" t="s">
        <v>67</v>
      </c>
      <c r="K12" s="65" t="s">
        <v>68</v>
      </c>
      <c r="L12" s="65" t="s">
        <v>49</v>
      </c>
      <c r="M12" s="65" t="s">
        <v>69</v>
      </c>
      <c r="N12" s="65" t="s">
        <v>70</v>
      </c>
      <c r="O12" s="65" t="s">
        <v>67</v>
      </c>
      <c r="P12" s="65" t="s">
        <v>71</v>
      </c>
    </row>
    <row r="13" spans="1:16" s="155" customFormat="1" ht="15" customHeight="1">
      <c r="A13" s="137">
        <v>1</v>
      </c>
      <c r="B13" s="137">
        <v>2</v>
      </c>
      <c r="C13" s="137">
        <v>3</v>
      </c>
      <c r="D13" s="137">
        <v>4</v>
      </c>
      <c r="E13" s="137">
        <v>5</v>
      </c>
      <c r="F13" s="137">
        <v>6</v>
      </c>
      <c r="G13" s="137">
        <v>7</v>
      </c>
      <c r="H13" s="137">
        <v>8</v>
      </c>
      <c r="I13" s="137">
        <v>9</v>
      </c>
      <c r="J13" s="137">
        <v>10</v>
      </c>
      <c r="K13" s="137">
        <v>11</v>
      </c>
      <c r="L13" s="137">
        <v>12</v>
      </c>
      <c r="M13" s="137">
        <v>13</v>
      </c>
      <c r="N13" s="137">
        <v>14</v>
      </c>
      <c r="O13" s="137">
        <v>15</v>
      </c>
      <c r="P13" s="137">
        <v>16</v>
      </c>
    </row>
    <row r="14" spans="1:16" s="11" customFormat="1" ht="15.75" customHeight="1">
      <c r="A14" s="347"/>
      <c r="B14" s="348"/>
      <c r="C14" s="125" t="s">
        <v>1522</v>
      </c>
      <c r="D14" s="349"/>
      <c r="E14" s="349"/>
      <c r="F14" s="349"/>
      <c r="G14" s="349"/>
      <c r="H14" s="350"/>
      <c r="I14" s="347"/>
      <c r="J14" s="347"/>
      <c r="K14" s="347"/>
      <c r="L14" s="347"/>
      <c r="M14" s="347"/>
      <c r="N14" s="347"/>
      <c r="O14" s="347"/>
      <c r="P14" s="347"/>
    </row>
    <row r="15" spans="1:16" s="352" customFormat="1" ht="56.25" customHeight="1">
      <c r="A15" s="73" t="s">
        <v>1523</v>
      </c>
      <c r="B15" s="351"/>
      <c r="C15" s="292" t="s">
        <v>1524</v>
      </c>
      <c r="D15" s="278" t="s">
        <v>203</v>
      </c>
      <c r="E15" s="278">
        <v>12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</row>
    <row r="16" spans="1:16" s="144" customFormat="1" ht="69" customHeight="1">
      <c r="A16" s="140" t="s">
        <v>1525</v>
      </c>
      <c r="B16" s="169"/>
      <c r="C16" s="275" t="s">
        <v>1526</v>
      </c>
      <c r="D16" s="276" t="s">
        <v>203</v>
      </c>
      <c r="E16" s="276">
        <v>1</v>
      </c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</row>
    <row r="17" spans="1:16" s="144" customFormat="1" ht="17.25" customHeight="1">
      <c r="A17" s="140" t="s">
        <v>1527</v>
      </c>
      <c r="B17" s="169"/>
      <c r="C17" s="275" t="s">
        <v>1528</v>
      </c>
      <c r="D17" s="276" t="s">
        <v>203</v>
      </c>
      <c r="E17" s="276">
        <v>1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1:16" s="144" customFormat="1" ht="17.25" customHeight="1">
      <c r="A18" s="140" t="s">
        <v>1529</v>
      </c>
      <c r="B18" s="169"/>
      <c r="C18" s="275" t="s">
        <v>1167</v>
      </c>
      <c r="D18" s="276" t="s">
        <v>203</v>
      </c>
      <c r="E18" s="276">
        <v>2</v>
      </c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</row>
    <row r="19" spans="1:16" s="144" customFormat="1" ht="17.25" customHeight="1">
      <c r="A19" s="140" t="s">
        <v>1530</v>
      </c>
      <c r="B19" s="169"/>
      <c r="C19" s="275" t="s">
        <v>1169</v>
      </c>
      <c r="D19" s="276" t="s">
        <v>203</v>
      </c>
      <c r="E19" s="276">
        <v>1</v>
      </c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</row>
    <row r="20" spans="1:16" s="144" customFormat="1" ht="17.25" customHeight="1">
      <c r="A20" s="140" t="s">
        <v>1531</v>
      </c>
      <c r="B20" s="169"/>
      <c r="C20" s="275" t="s">
        <v>1171</v>
      </c>
      <c r="D20" s="276" t="s">
        <v>203</v>
      </c>
      <c r="E20" s="276">
        <v>5</v>
      </c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</row>
    <row r="21" spans="1:16" s="144" customFormat="1" ht="17.25" customHeight="1">
      <c r="A21" s="140" t="s">
        <v>1532</v>
      </c>
      <c r="B21" s="169"/>
      <c r="C21" s="275" t="s">
        <v>1173</v>
      </c>
      <c r="D21" s="276" t="s">
        <v>203</v>
      </c>
      <c r="E21" s="276">
        <v>2</v>
      </c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</row>
    <row r="22" spans="1:16" s="144" customFormat="1" ht="17.25" customHeight="1">
      <c r="A22" s="140" t="s">
        <v>1533</v>
      </c>
      <c r="B22" s="169"/>
      <c r="C22" s="275" t="s">
        <v>1179</v>
      </c>
      <c r="D22" s="169" t="s">
        <v>306</v>
      </c>
      <c r="E22" s="276">
        <v>12</v>
      </c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</row>
    <row r="23" spans="1:16" s="144" customFormat="1" ht="26.25" customHeight="1">
      <c r="A23" s="140" t="s">
        <v>1534</v>
      </c>
      <c r="B23" s="169"/>
      <c r="C23" s="116" t="s">
        <v>1535</v>
      </c>
      <c r="D23" s="169" t="s">
        <v>306</v>
      </c>
      <c r="E23" s="169">
        <f>E22</f>
        <v>12</v>
      </c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</row>
    <row r="24" spans="1:16" s="31" customFormat="1" ht="27.75" customHeight="1">
      <c r="A24" s="73" t="s">
        <v>1536</v>
      </c>
      <c r="B24" s="37"/>
      <c r="C24" s="292" t="s">
        <v>1123</v>
      </c>
      <c r="D24" s="282" t="s">
        <v>306</v>
      </c>
      <c r="E24" s="37">
        <v>1</v>
      </c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</row>
    <row r="25" spans="1:16" s="31" customFormat="1" ht="25.5" customHeight="1">
      <c r="A25" s="73" t="s">
        <v>1537</v>
      </c>
      <c r="B25" s="37"/>
      <c r="C25" s="292" t="s">
        <v>1538</v>
      </c>
      <c r="D25" s="282" t="s">
        <v>108</v>
      </c>
      <c r="E25" s="37">
        <v>1</v>
      </c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6" s="109" customFormat="1" ht="13.5" customHeight="1">
      <c r="A26" s="353"/>
      <c r="B26" s="310"/>
      <c r="C26" s="354"/>
      <c r="D26" s="310"/>
      <c r="E26" s="310"/>
      <c r="F26" s="310"/>
      <c r="G26" s="355"/>
      <c r="H26" s="356"/>
      <c r="I26" s="134"/>
      <c r="J26" s="134"/>
      <c r="K26" s="134"/>
      <c r="L26" s="134"/>
      <c r="M26" s="134"/>
      <c r="N26" s="134"/>
      <c r="O26" s="134"/>
      <c r="P26" s="134"/>
    </row>
  </sheetData>
  <mergeCells count="175">
    <mergeCell ref="Q4:S4"/>
    <mergeCell ref="T4:AF4"/>
    <mergeCell ref="AG4:AI4"/>
    <mergeCell ref="AJ4:AV4"/>
    <mergeCell ref="AW4:AY4"/>
    <mergeCell ref="AZ4:BL4"/>
    <mergeCell ref="BM4:BO4"/>
    <mergeCell ref="BP4:CB4"/>
    <mergeCell ref="CC4:CE4"/>
    <mergeCell ref="CF4:CR4"/>
    <mergeCell ref="CS4:CU4"/>
    <mergeCell ref="CV4:DH4"/>
    <mergeCell ref="DI4:DK4"/>
    <mergeCell ref="DL4:DX4"/>
    <mergeCell ref="DY4:EA4"/>
    <mergeCell ref="EB4:EN4"/>
    <mergeCell ref="EO4:EQ4"/>
    <mergeCell ref="ER4:FD4"/>
    <mergeCell ref="FE4:FG4"/>
    <mergeCell ref="FH4:FT4"/>
    <mergeCell ref="FU4:FW4"/>
    <mergeCell ref="FX4:GJ4"/>
    <mergeCell ref="GK4:GM4"/>
    <mergeCell ref="GN4:GZ4"/>
    <mergeCell ref="HA4:HC4"/>
    <mergeCell ref="HD4:HP4"/>
    <mergeCell ref="HQ4:HS4"/>
    <mergeCell ref="HT4:IF4"/>
    <mergeCell ref="IG4:II4"/>
    <mergeCell ref="IJ4:IV4"/>
    <mergeCell ref="Q5:S5"/>
    <mergeCell ref="T5:AF5"/>
    <mergeCell ref="AG5:AI5"/>
    <mergeCell ref="AJ5:AV5"/>
    <mergeCell ref="AW5:AY5"/>
    <mergeCell ref="AZ5:BL5"/>
    <mergeCell ref="BM5:BO5"/>
    <mergeCell ref="BP5:CB5"/>
    <mergeCell ref="CC5:CE5"/>
    <mergeCell ref="CF5:CR5"/>
    <mergeCell ref="CS5:CU5"/>
    <mergeCell ref="CV5:DH5"/>
    <mergeCell ref="DI5:DK5"/>
    <mergeCell ref="DL5:DX5"/>
    <mergeCell ref="DY5:EA5"/>
    <mergeCell ref="EB5:EN5"/>
    <mergeCell ref="EO5:EQ5"/>
    <mergeCell ref="ER5:FD5"/>
    <mergeCell ref="FE5:FG5"/>
    <mergeCell ref="FH5:FT5"/>
    <mergeCell ref="FU5:FW5"/>
    <mergeCell ref="FX5:GJ5"/>
    <mergeCell ref="GK5:GM5"/>
    <mergeCell ref="GN5:GZ5"/>
    <mergeCell ref="HA5:HC5"/>
    <mergeCell ref="HD5:HP5"/>
    <mergeCell ref="HQ5:HS5"/>
    <mergeCell ref="HT5:IF5"/>
    <mergeCell ref="IG5:II5"/>
    <mergeCell ref="IJ5:IV5"/>
    <mergeCell ref="Q6:S6"/>
    <mergeCell ref="AG6:AI6"/>
    <mergeCell ref="AW6:AY6"/>
    <mergeCell ref="BM6:BO6"/>
    <mergeCell ref="CC6:CE6"/>
    <mergeCell ref="CS6:CU6"/>
    <mergeCell ref="DI6:DK6"/>
    <mergeCell ref="DY6:EA6"/>
    <mergeCell ref="EO6:EQ6"/>
    <mergeCell ref="FE6:FG6"/>
    <mergeCell ref="FU6:FW6"/>
    <mergeCell ref="GK6:GM6"/>
    <mergeCell ref="HA6:HC6"/>
    <mergeCell ref="HQ6:HS6"/>
    <mergeCell ref="IG6:II6"/>
    <mergeCell ref="Q7:S7"/>
    <mergeCell ref="T7:AF7"/>
    <mergeCell ref="AG7:AI7"/>
    <mergeCell ref="AJ7:AV7"/>
    <mergeCell ref="AW7:AY7"/>
    <mergeCell ref="AZ7:BL7"/>
    <mergeCell ref="BM7:BO7"/>
    <mergeCell ref="BP7:CB7"/>
    <mergeCell ref="CC7:CE7"/>
    <mergeCell ref="CF7:CR7"/>
    <mergeCell ref="CS7:CU7"/>
    <mergeCell ref="CV7:DH7"/>
    <mergeCell ref="DI7:DK7"/>
    <mergeCell ref="DL7:DX7"/>
    <mergeCell ref="DY7:EA7"/>
    <mergeCell ref="EB7:EN7"/>
    <mergeCell ref="EO7:EQ7"/>
    <mergeCell ref="ER7:FD7"/>
    <mergeCell ref="FE7:FG7"/>
    <mergeCell ref="FH7:FT7"/>
    <mergeCell ref="FU7:FW7"/>
    <mergeCell ref="FX7:GJ7"/>
    <mergeCell ref="GK7:GM7"/>
    <mergeCell ref="GN7:GZ7"/>
    <mergeCell ref="HA7:HC7"/>
    <mergeCell ref="HD7:HP7"/>
    <mergeCell ref="HQ7:HS7"/>
    <mergeCell ref="HT7:IF7"/>
    <mergeCell ref="IG7:II7"/>
    <mergeCell ref="IJ7:IV7"/>
    <mergeCell ref="N8:O8"/>
    <mergeCell ref="Q8:X8"/>
    <mergeCell ref="AD8:AE8"/>
    <mergeCell ref="AG8:AN8"/>
    <mergeCell ref="AT8:AU8"/>
    <mergeCell ref="AW8:BD8"/>
    <mergeCell ref="BJ8:BK8"/>
    <mergeCell ref="BM8:BT8"/>
    <mergeCell ref="BZ8:CA8"/>
    <mergeCell ref="CC8:CJ8"/>
    <mergeCell ref="CP8:CQ8"/>
    <mergeCell ref="CS8:CZ8"/>
    <mergeCell ref="DF8:DG8"/>
    <mergeCell ref="DI8:DP8"/>
    <mergeCell ref="DV8:DW8"/>
    <mergeCell ref="DY8:EF8"/>
    <mergeCell ref="EL8:EM8"/>
    <mergeCell ref="EO8:EV8"/>
    <mergeCell ref="FB8:FC8"/>
    <mergeCell ref="FE8:FL8"/>
    <mergeCell ref="FR8:FS8"/>
    <mergeCell ref="FU8:GB8"/>
    <mergeCell ref="GH8:GI8"/>
    <mergeCell ref="GK8:GR8"/>
    <mergeCell ref="GX8:GY8"/>
    <mergeCell ref="HA8:HH8"/>
    <mergeCell ref="HN8:HO8"/>
    <mergeCell ref="HQ8:HX8"/>
    <mergeCell ref="ID8:IE8"/>
    <mergeCell ref="IG8:IN8"/>
    <mergeCell ref="IT8:IU8"/>
    <mergeCell ref="I9:P9"/>
    <mergeCell ref="Y9:AF9"/>
    <mergeCell ref="AO9:AV9"/>
    <mergeCell ref="BE9:BL9"/>
    <mergeCell ref="BU9:CB9"/>
    <mergeCell ref="CK9:CR9"/>
    <mergeCell ref="DA9:DH9"/>
    <mergeCell ref="DQ9:DX9"/>
    <mergeCell ref="EG9:EN9"/>
    <mergeCell ref="EW9:FD9"/>
    <mergeCell ref="FM9:FT9"/>
    <mergeCell ref="GC9:GJ9"/>
    <mergeCell ref="GS9:GZ9"/>
    <mergeCell ref="HI9:HP9"/>
    <mergeCell ref="HY9:IF9"/>
    <mergeCell ref="IO9:IV9"/>
    <mergeCell ref="A10:H10"/>
    <mergeCell ref="Q10:X10"/>
    <mergeCell ref="AG10:AN10"/>
    <mergeCell ref="AW10:BD10"/>
    <mergeCell ref="BM10:BT10"/>
    <mergeCell ref="CC10:CJ10"/>
    <mergeCell ref="CS10:CZ10"/>
    <mergeCell ref="DI10:DP10"/>
    <mergeCell ref="DY10:EF10"/>
    <mergeCell ref="EO10:EV10"/>
    <mergeCell ref="FE10:FL10"/>
    <mergeCell ref="FU10:GB10"/>
    <mergeCell ref="GK10:GR10"/>
    <mergeCell ref="HA10:HH10"/>
    <mergeCell ref="HQ10:HX10"/>
    <mergeCell ref="IG10:IN10"/>
    <mergeCell ref="A11:A12"/>
    <mergeCell ref="B11:B12"/>
    <mergeCell ref="C11:C12"/>
    <mergeCell ref="D11:D12"/>
    <mergeCell ref="E11:E12"/>
    <mergeCell ref="F11:K11"/>
    <mergeCell ref="L11:P11"/>
  </mergeCells>
  <printOptions horizontalCentered="1"/>
  <pageMargins left="0.39375" right="0" top="0.9840277777777777" bottom="0.5902777777777778" header="0.5118055555555555" footer="0.19652777777777777"/>
  <pageSetup horizontalDpi="300" verticalDpi="300" orientation="landscape" paperSize="9" scale="85"/>
  <headerFooter alignWithMargins="0">
    <oddFooter>&amp;CPage &amp;P&amp;R&amp;A</oddFooter>
  </headerFooter>
  <rowBreaks count="1" manualBreakCount="1">
    <brk id="23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Q60"/>
  <sheetViews>
    <sheetView zoomScaleSheetLayoutView="140" workbookViewId="0" topLeftCell="A1">
      <selection activeCell="I9" sqref="I9"/>
    </sheetView>
  </sheetViews>
  <sheetFormatPr defaultColWidth="9.140625" defaultRowHeight="12.75"/>
  <cols>
    <col min="1" max="1" width="7.140625" style="9" customWidth="1"/>
    <col min="2" max="2" width="5.00390625" style="9" customWidth="1"/>
    <col min="3" max="3" width="33.57421875" style="9" customWidth="1"/>
    <col min="4" max="4" width="7.140625" style="9" customWidth="1"/>
    <col min="5" max="10" width="8.57421875" style="9" customWidth="1"/>
    <col min="11" max="16" width="10.00390625" style="9" customWidth="1"/>
    <col min="17" max="16384" width="9.140625" style="9" customWidth="1"/>
  </cols>
  <sheetData>
    <row r="1" spans="1:16" ht="14.25">
      <c r="A1" s="58"/>
      <c r="B1" s="58"/>
      <c r="C1" s="58"/>
      <c r="D1" s="58"/>
      <c r="E1" s="58"/>
      <c r="F1" s="58"/>
      <c r="G1" s="58" t="s">
        <v>1539</v>
      </c>
      <c r="H1" s="58"/>
      <c r="I1" s="58"/>
      <c r="J1" s="58"/>
      <c r="K1" s="58"/>
      <c r="L1" s="58"/>
      <c r="M1" s="58"/>
      <c r="N1" s="58"/>
      <c r="O1" s="58"/>
      <c r="P1" s="58"/>
    </row>
    <row r="2" spans="1:16" ht="14.25">
      <c r="A2" s="59"/>
      <c r="B2" s="59"/>
      <c r="C2" s="59"/>
      <c r="D2" s="59"/>
      <c r="E2" s="59"/>
      <c r="F2" s="59"/>
      <c r="G2" s="59" t="s">
        <v>1540</v>
      </c>
      <c r="H2" s="59"/>
      <c r="I2" s="59"/>
      <c r="J2" s="59"/>
      <c r="K2" s="59"/>
      <c r="L2" s="59"/>
      <c r="M2" s="59"/>
      <c r="N2" s="59"/>
      <c r="O2" s="59"/>
      <c r="P2" s="59"/>
    </row>
    <row r="3" spans="1:16" ht="14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16" ht="12.75" customHeight="1">
      <c r="A4" s="7" t="s">
        <v>23</v>
      </c>
      <c r="B4" s="8"/>
      <c r="C4"/>
      <c r="D4" s="7" t="s">
        <v>24</v>
      </c>
      <c r="E4" s="60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2.75" customHeight="1">
      <c r="A5" s="7" t="s">
        <v>25</v>
      </c>
      <c r="B5" s="10"/>
      <c r="C5"/>
      <c r="D5" s="32" t="s">
        <v>26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5" ht="12.75" customHeight="1">
      <c r="A6" s="7" t="s">
        <v>4</v>
      </c>
      <c r="B6" s="8"/>
      <c r="C6"/>
      <c r="E6" s="8"/>
    </row>
    <row r="7" spans="1:16" ht="12.75" customHeight="1">
      <c r="A7" s="10" t="s">
        <v>5</v>
      </c>
      <c r="B7" s="11"/>
      <c r="C7"/>
      <c r="D7" s="9" t="s">
        <v>6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2.75" customHeight="1">
      <c r="A8" s="7" t="s">
        <v>7</v>
      </c>
      <c r="B8" s="10"/>
      <c r="C8"/>
      <c r="D8" s="51" t="s">
        <v>8</v>
      </c>
      <c r="F8" s="10"/>
      <c r="G8" s="10"/>
      <c r="H8" s="10"/>
      <c r="I8" s="61"/>
      <c r="J8" s="61"/>
      <c r="K8" s="62"/>
      <c r="L8" s="62"/>
      <c r="M8" s="61"/>
      <c r="N8" s="63"/>
      <c r="O8" s="63"/>
      <c r="P8" s="61"/>
    </row>
    <row r="9" spans="1:16" ht="12">
      <c r="A9" s="7" t="s">
        <v>9</v>
      </c>
      <c r="B9" s="8"/>
      <c r="C9"/>
      <c r="D9" s="7" t="s">
        <v>10</v>
      </c>
      <c r="E9" s="10"/>
      <c r="I9" s="7"/>
      <c r="J9" s="7"/>
      <c r="K9" s="7"/>
      <c r="L9" s="7"/>
      <c r="M9" s="7"/>
      <c r="N9" s="7"/>
      <c r="O9" s="7"/>
      <c r="P9" s="7"/>
    </row>
    <row r="10" spans="1:8" ht="12.75" customHeight="1">
      <c r="A10" s="7"/>
      <c r="B10" s="7"/>
      <c r="C10" s="7"/>
      <c r="D10" s="7"/>
      <c r="E10" s="7"/>
      <c r="F10" s="7"/>
      <c r="G10" s="7"/>
      <c r="H10" s="7"/>
    </row>
    <row r="11" spans="1:16" s="208" customFormat="1" ht="14.25" customHeight="1">
      <c r="A11" s="205" t="s">
        <v>56</v>
      </c>
      <c r="B11" s="206" t="s">
        <v>57</v>
      </c>
      <c r="C11" s="207" t="s">
        <v>58</v>
      </c>
      <c r="D11" s="206" t="s">
        <v>59</v>
      </c>
      <c r="E11" s="206" t="s">
        <v>60</v>
      </c>
      <c r="F11" s="207" t="s">
        <v>61</v>
      </c>
      <c r="G11" s="207"/>
      <c r="H11" s="207"/>
      <c r="I11" s="207"/>
      <c r="J11" s="207"/>
      <c r="K11" s="207"/>
      <c r="L11" s="207" t="s">
        <v>62</v>
      </c>
      <c r="M11" s="207" t="s">
        <v>62</v>
      </c>
      <c r="N11" s="207"/>
      <c r="O11" s="207"/>
      <c r="P11" s="207"/>
    </row>
    <row r="12" spans="1:16" s="208" customFormat="1" ht="58.5" customHeight="1">
      <c r="A12" s="205"/>
      <c r="B12" s="206"/>
      <c r="C12" s="207"/>
      <c r="D12" s="206"/>
      <c r="E12" s="206"/>
      <c r="F12" s="206" t="s">
        <v>63</v>
      </c>
      <c r="G12" s="206" t="s">
        <v>64</v>
      </c>
      <c r="H12" s="206" t="s">
        <v>65</v>
      </c>
      <c r="I12" s="206" t="s">
        <v>66</v>
      </c>
      <c r="J12" s="206" t="s">
        <v>67</v>
      </c>
      <c r="K12" s="206" t="s">
        <v>68</v>
      </c>
      <c r="L12" s="206" t="s">
        <v>49</v>
      </c>
      <c r="M12" s="206" t="s">
        <v>69</v>
      </c>
      <c r="N12" s="206" t="s">
        <v>70</v>
      </c>
      <c r="O12" s="206" t="s">
        <v>67</v>
      </c>
      <c r="P12" s="206" t="s">
        <v>71</v>
      </c>
    </row>
    <row r="13" spans="1:16" s="155" customFormat="1" ht="13.5" customHeight="1">
      <c r="A13" s="137">
        <v>1</v>
      </c>
      <c r="B13" s="137">
        <v>2</v>
      </c>
      <c r="C13" s="137">
        <v>3</v>
      </c>
      <c r="D13" s="137">
        <v>4</v>
      </c>
      <c r="E13" s="137">
        <v>5</v>
      </c>
      <c r="F13" s="137">
        <v>6</v>
      </c>
      <c r="G13" s="137">
        <v>7</v>
      </c>
      <c r="H13" s="137">
        <v>8</v>
      </c>
      <c r="I13" s="137">
        <v>9</v>
      </c>
      <c r="J13" s="137">
        <v>10</v>
      </c>
      <c r="K13" s="137">
        <v>11</v>
      </c>
      <c r="L13" s="137">
        <v>12</v>
      </c>
      <c r="M13" s="137">
        <v>13</v>
      </c>
      <c r="N13" s="137">
        <v>14</v>
      </c>
      <c r="O13" s="137">
        <v>15</v>
      </c>
      <c r="P13" s="137">
        <v>16</v>
      </c>
    </row>
    <row r="14" spans="1:16" s="51" customFormat="1" ht="14.25" customHeight="1">
      <c r="A14" s="69"/>
      <c r="B14" s="69"/>
      <c r="C14" s="70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1:16" s="51" customFormat="1" ht="29.25" customHeight="1">
      <c r="A15" s="103" t="s">
        <v>1541</v>
      </c>
      <c r="B15" s="69"/>
      <c r="C15" s="79" t="s">
        <v>1542</v>
      </c>
      <c r="D15" s="71" t="s">
        <v>74</v>
      </c>
      <c r="E15" s="77">
        <v>138.5</v>
      </c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1:16" s="51" customFormat="1" ht="15.75" customHeight="1">
      <c r="A16" s="103" t="s">
        <v>1543</v>
      </c>
      <c r="B16" s="69"/>
      <c r="C16" s="79" t="s">
        <v>1544</v>
      </c>
      <c r="D16" s="71" t="s">
        <v>74</v>
      </c>
      <c r="E16" s="77">
        <v>74.5</v>
      </c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1:16" s="51" customFormat="1" ht="28.5" customHeight="1">
      <c r="A17" s="103" t="s">
        <v>1545</v>
      </c>
      <c r="B17" s="69"/>
      <c r="C17" s="79" t="s">
        <v>1546</v>
      </c>
      <c r="D17" s="71" t="s">
        <v>74</v>
      </c>
      <c r="E17" s="77">
        <v>223.21</v>
      </c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1:16" s="51" customFormat="1" ht="27" customHeight="1">
      <c r="A18" s="103" t="s">
        <v>1547</v>
      </c>
      <c r="B18" s="69"/>
      <c r="C18" s="79" t="s">
        <v>1548</v>
      </c>
      <c r="D18" s="71" t="s">
        <v>74</v>
      </c>
      <c r="E18" s="77">
        <v>223.21</v>
      </c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1:16" s="61" customFormat="1" ht="18" customHeight="1">
      <c r="A19" s="103" t="s">
        <v>1549</v>
      </c>
      <c r="B19" s="87"/>
      <c r="C19" s="79" t="s">
        <v>1550</v>
      </c>
      <c r="D19" s="87" t="s">
        <v>77</v>
      </c>
      <c r="E19" s="77">
        <v>133.4</v>
      </c>
      <c r="F19" s="78"/>
      <c r="G19" s="78"/>
      <c r="H19" s="78"/>
      <c r="I19" s="129"/>
      <c r="J19" s="78"/>
      <c r="K19" s="78"/>
      <c r="L19" s="78"/>
      <c r="M19" s="78"/>
      <c r="N19" s="78"/>
      <c r="O19" s="78"/>
      <c r="P19" s="78"/>
    </row>
    <row r="20" spans="1:16" s="61" customFormat="1" ht="18" customHeight="1">
      <c r="A20" s="103" t="s">
        <v>1551</v>
      </c>
      <c r="B20" s="71"/>
      <c r="C20" s="110" t="s">
        <v>96</v>
      </c>
      <c r="D20" s="71" t="s">
        <v>203</v>
      </c>
      <c r="E20" s="72">
        <v>9</v>
      </c>
      <c r="F20" s="78"/>
      <c r="G20" s="78"/>
      <c r="H20" s="78"/>
      <c r="I20" s="129"/>
      <c r="J20" s="80"/>
      <c r="K20" s="78"/>
      <c r="L20" s="78"/>
      <c r="M20" s="78"/>
      <c r="N20" s="78"/>
      <c r="O20" s="78"/>
      <c r="P20" s="78"/>
    </row>
    <row r="21" spans="1:16" s="61" customFormat="1" ht="18" customHeight="1">
      <c r="A21" s="103"/>
      <c r="B21" s="71"/>
      <c r="C21" s="357" t="s">
        <v>538</v>
      </c>
      <c r="D21" s="71"/>
      <c r="E21" s="72"/>
      <c r="F21" s="111"/>
      <c r="G21" s="111"/>
      <c r="H21" s="111"/>
      <c r="I21" s="128"/>
      <c r="J21" s="78"/>
      <c r="K21" s="111"/>
      <c r="L21" s="111"/>
      <c r="M21" s="111"/>
      <c r="N21" s="111"/>
      <c r="O21" s="111"/>
      <c r="P21" s="111"/>
    </row>
    <row r="22" spans="1:17" s="61" customFormat="1" ht="18" customHeight="1">
      <c r="A22" s="103" t="s">
        <v>1552</v>
      </c>
      <c r="B22" s="71"/>
      <c r="C22" s="110" t="s">
        <v>540</v>
      </c>
      <c r="D22" s="71" t="s">
        <v>203</v>
      </c>
      <c r="E22" s="77">
        <v>9</v>
      </c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315"/>
    </row>
    <row r="23" spans="1:17" s="109" customFormat="1" ht="18" customHeight="1">
      <c r="A23" s="104" t="s">
        <v>1553</v>
      </c>
      <c r="B23" s="113"/>
      <c r="C23" s="112" t="s">
        <v>542</v>
      </c>
      <c r="D23" s="141" t="s">
        <v>203</v>
      </c>
      <c r="E23" s="107">
        <v>4</v>
      </c>
      <c r="F23" s="230"/>
      <c r="G23" s="230"/>
      <c r="H23" s="143"/>
      <c r="I23" s="143"/>
      <c r="J23" s="143"/>
      <c r="K23" s="143"/>
      <c r="L23" s="143"/>
      <c r="M23" s="143"/>
      <c r="N23" s="143"/>
      <c r="O23" s="143"/>
      <c r="P23" s="143"/>
      <c r="Q23" s="315"/>
    </row>
    <row r="24" spans="1:16" s="109" customFormat="1" ht="18" customHeight="1">
      <c r="A24" s="104" t="s">
        <v>1554</v>
      </c>
      <c r="B24" s="113"/>
      <c r="C24" s="112" t="s">
        <v>1555</v>
      </c>
      <c r="D24" s="113" t="s">
        <v>203</v>
      </c>
      <c r="E24" s="107">
        <v>1</v>
      </c>
      <c r="F24" s="230"/>
      <c r="G24" s="230"/>
      <c r="H24" s="143"/>
      <c r="I24" s="143"/>
      <c r="J24" s="143"/>
      <c r="K24" s="143"/>
      <c r="L24" s="143"/>
      <c r="M24" s="143"/>
      <c r="N24" s="143"/>
      <c r="O24" s="143"/>
      <c r="P24" s="143"/>
    </row>
    <row r="25" spans="1:16" s="109" customFormat="1" ht="18" customHeight="1">
      <c r="A25" s="104" t="s">
        <v>1556</v>
      </c>
      <c r="B25" s="113"/>
      <c r="C25" s="112" t="s">
        <v>548</v>
      </c>
      <c r="D25" s="113" t="s">
        <v>203</v>
      </c>
      <c r="E25" s="107">
        <v>4</v>
      </c>
      <c r="F25" s="230"/>
      <c r="G25" s="230"/>
      <c r="H25" s="143"/>
      <c r="I25" s="115"/>
      <c r="J25" s="143"/>
      <c r="K25" s="143"/>
      <c r="L25" s="143"/>
      <c r="M25" s="143"/>
      <c r="N25" s="143"/>
      <c r="O25" s="143"/>
      <c r="P25" s="143"/>
    </row>
    <row r="26" spans="1:16" s="109" customFormat="1" ht="18" customHeight="1">
      <c r="A26" s="104" t="s">
        <v>1557</v>
      </c>
      <c r="B26" s="113"/>
      <c r="C26" s="112" t="s">
        <v>162</v>
      </c>
      <c r="D26" s="113" t="s">
        <v>118</v>
      </c>
      <c r="E26" s="107">
        <v>1</v>
      </c>
      <c r="F26" s="230"/>
      <c r="G26" s="230"/>
      <c r="H26" s="143"/>
      <c r="I26" s="115"/>
      <c r="J26" s="143"/>
      <c r="K26" s="143"/>
      <c r="L26" s="143"/>
      <c r="M26" s="143"/>
      <c r="N26" s="143"/>
      <c r="O26" s="143"/>
      <c r="P26" s="143"/>
    </row>
    <row r="27" spans="1:16" s="51" customFormat="1" ht="16.5" customHeight="1">
      <c r="A27" s="103"/>
      <c r="B27" s="69"/>
      <c r="C27" s="357" t="s">
        <v>1488</v>
      </c>
      <c r="D27" s="69"/>
      <c r="E27" s="69"/>
      <c r="F27" s="69"/>
      <c r="G27" s="69"/>
      <c r="H27" s="69"/>
      <c r="I27" s="69"/>
      <c r="J27" s="78"/>
      <c r="K27" s="69"/>
      <c r="L27" s="69"/>
      <c r="M27" s="69"/>
      <c r="N27" s="69"/>
      <c r="O27" s="69"/>
      <c r="P27" s="69"/>
    </row>
    <row r="28" spans="1:16" s="61" customFormat="1" ht="29.25" customHeight="1">
      <c r="A28" s="103" t="s">
        <v>1558</v>
      </c>
      <c r="B28" s="87"/>
      <c r="C28" s="79" t="s">
        <v>1559</v>
      </c>
      <c r="D28" s="87" t="s">
        <v>1560</v>
      </c>
      <c r="E28" s="77">
        <v>8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1:16" s="61" customFormat="1" ht="22.5" customHeight="1">
      <c r="A29" s="103" t="s">
        <v>1561</v>
      </c>
      <c r="B29" s="87"/>
      <c r="C29" s="79" t="s">
        <v>1562</v>
      </c>
      <c r="D29" s="71" t="s">
        <v>74</v>
      </c>
      <c r="E29" s="77">
        <v>74.5</v>
      </c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1:16" s="61" customFormat="1" ht="19.5" customHeight="1">
      <c r="A30" s="103" t="s">
        <v>1563</v>
      </c>
      <c r="B30" s="87"/>
      <c r="C30" s="79" t="s">
        <v>575</v>
      </c>
      <c r="D30" s="71" t="s">
        <v>74</v>
      </c>
      <c r="E30" s="77">
        <v>74.5</v>
      </c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1:16" s="109" customFormat="1" ht="18" customHeight="1">
      <c r="A31" s="104" t="s">
        <v>1564</v>
      </c>
      <c r="B31" s="105"/>
      <c r="C31" s="116" t="s">
        <v>1565</v>
      </c>
      <c r="D31" s="113" t="s">
        <v>151</v>
      </c>
      <c r="E31" s="107">
        <f>SUM(E30*1.1)</f>
        <v>81.95</v>
      </c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</row>
    <row r="32" spans="1:16" s="109" customFormat="1" ht="18" customHeight="1">
      <c r="A32" s="104" t="s">
        <v>1566</v>
      </c>
      <c r="B32" s="105"/>
      <c r="C32" s="116" t="s">
        <v>577</v>
      </c>
      <c r="D32" s="105" t="s">
        <v>154</v>
      </c>
      <c r="E32" s="107">
        <f>SUM(E30*5)</f>
        <v>372.5</v>
      </c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</row>
    <row r="33" spans="1:16" s="109" customFormat="1" ht="18" customHeight="1">
      <c r="A33" s="104" t="s">
        <v>1567</v>
      </c>
      <c r="B33" s="105"/>
      <c r="C33" s="116" t="s">
        <v>581</v>
      </c>
      <c r="D33" s="105" t="s">
        <v>154</v>
      </c>
      <c r="E33" s="107">
        <f>SUM(E30*0.6)</f>
        <v>44.699999999999996</v>
      </c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</row>
    <row r="34" spans="1:16" s="51" customFormat="1" ht="30" customHeight="1">
      <c r="A34" s="103" t="s">
        <v>1568</v>
      </c>
      <c r="B34" s="66"/>
      <c r="C34" s="79" t="s">
        <v>1569</v>
      </c>
      <c r="D34" s="87" t="s">
        <v>74</v>
      </c>
      <c r="E34" s="77">
        <v>138.45</v>
      </c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1:16" s="211" customFormat="1" ht="39.75" customHeight="1">
      <c r="A35" s="103" t="s">
        <v>1570</v>
      </c>
      <c r="B35" s="210"/>
      <c r="C35" s="79" t="s">
        <v>583</v>
      </c>
      <c r="D35" s="87" t="s">
        <v>74</v>
      </c>
      <c r="E35" s="77">
        <v>138.45</v>
      </c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1:16" s="165" customFormat="1" ht="15.75" customHeight="1">
      <c r="A36" s="104" t="s">
        <v>1571</v>
      </c>
      <c r="B36" s="105"/>
      <c r="C36" s="116" t="s">
        <v>585</v>
      </c>
      <c r="D36" s="105" t="s">
        <v>167</v>
      </c>
      <c r="E36" s="107">
        <f>SUM(E35*1.04)</f>
        <v>143.988</v>
      </c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</row>
    <row r="37" spans="1:16" s="165" customFormat="1" ht="15.75" customHeight="1">
      <c r="A37" s="104" t="s">
        <v>1572</v>
      </c>
      <c r="B37" s="105"/>
      <c r="C37" s="116" t="s">
        <v>587</v>
      </c>
      <c r="D37" s="105" t="s">
        <v>154</v>
      </c>
      <c r="E37" s="107">
        <f>SUM(E35*0.4)</f>
        <v>55.379999999999995</v>
      </c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</row>
    <row r="38" spans="1:16" s="165" customFormat="1" ht="18" customHeight="1">
      <c r="A38" s="104" t="s">
        <v>1573</v>
      </c>
      <c r="B38" s="105"/>
      <c r="C38" s="116" t="s">
        <v>589</v>
      </c>
      <c r="D38" s="105" t="s">
        <v>77</v>
      </c>
      <c r="E38" s="107">
        <v>150</v>
      </c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</row>
    <row r="39" spans="1:16" s="164" customFormat="1" ht="16.5" customHeight="1">
      <c r="A39" s="103" t="s">
        <v>1574</v>
      </c>
      <c r="B39" s="87"/>
      <c r="C39" s="79" t="s">
        <v>591</v>
      </c>
      <c r="D39" s="87" t="s">
        <v>77</v>
      </c>
      <c r="E39" s="77">
        <v>133.4</v>
      </c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1:16" s="165" customFormat="1" ht="18" customHeight="1">
      <c r="A40" s="104" t="s">
        <v>1575</v>
      </c>
      <c r="B40" s="105"/>
      <c r="C40" s="116" t="s">
        <v>593</v>
      </c>
      <c r="D40" s="105" t="s">
        <v>77</v>
      </c>
      <c r="E40" s="107">
        <f>SUM(E39*1.05)</f>
        <v>140.07000000000002</v>
      </c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</row>
    <row r="41" spans="1:16" s="165" customFormat="1" ht="18" customHeight="1">
      <c r="A41" s="104" t="s">
        <v>1576</v>
      </c>
      <c r="B41" s="105"/>
      <c r="C41" s="116" t="s">
        <v>162</v>
      </c>
      <c r="D41" s="105" t="s">
        <v>77</v>
      </c>
      <c r="E41" s="107">
        <v>133.4</v>
      </c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</row>
    <row r="42" spans="1:16" ht="15.75" customHeight="1">
      <c r="A42" s="103"/>
      <c r="B42" s="66"/>
      <c r="C42" s="212" t="s">
        <v>595</v>
      </c>
      <c r="D42" s="66"/>
      <c r="E42" s="197"/>
      <c r="F42" s="197"/>
      <c r="G42" s="197"/>
      <c r="H42" s="129"/>
      <c r="I42" s="129"/>
      <c r="J42" s="129"/>
      <c r="K42" s="129"/>
      <c r="L42" s="129"/>
      <c r="M42" s="129"/>
      <c r="N42" s="129"/>
      <c r="O42" s="129"/>
      <c r="P42" s="129"/>
    </row>
    <row r="43" spans="1:16" s="61" customFormat="1" ht="21" customHeight="1">
      <c r="A43" s="103" t="s">
        <v>1577</v>
      </c>
      <c r="B43" s="87"/>
      <c r="C43" s="79" t="s">
        <v>1578</v>
      </c>
      <c r="D43" s="87" t="s">
        <v>74</v>
      </c>
      <c r="E43" s="77">
        <v>424.85</v>
      </c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1:16" s="61" customFormat="1" ht="27" customHeight="1">
      <c r="A44" s="103" t="s">
        <v>1579</v>
      </c>
      <c r="B44" s="87"/>
      <c r="C44" s="79" t="s">
        <v>600</v>
      </c>
      <c r="D44" s="87" t="s">
        <v>74</v>
      </c>
      <c r="E44" s="77">
        <f>E43</f>
        <v>424.85</v>
      </c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1:16" s="109" customFormat="1" ht="16.5" customHeight="1">
      <c r="A45" s="104" t="s">
        <v>1580</v>
      </c>
      <c r="B45" s="105"/>
      <c r="C45" s="116" t="s">
        <v>503</v>
      </c>
      <c r="D45" s="105" t="s">
        <v>504</v>
      </c>
      <c r="E45" s="107">
        <f>SUM(E44*0.25)</f>
        <v>106.2125</v>
      </c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</row>
    <row r="46" spans="1:16" s="109" customFormat="1" ht="15.75" customHeight="1">
      <c r="A46" s="104" t="s">
        <v>1581</v>
      </c>
      <c r="B46" s="105"/>
      <c r="C46" s="116" t="s">
        <v>603</v>
      </c>
      <c r="D46" s="105" t="s">
        <v>154</v>
      </c>
      <c r="E46" s="107">
        <f>SUM(E44*1.64)</f>
        <v>696.754</v>
      </c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</row>
    <row r="47" spans="1:16" s="109" customFormat="1" ht="15.75" customHeight="1">
      <c r="A47" s="104" t="s">
        <v>1582</v>
      </c>
      <c r="B47" s="105"/>
      <c r="C47" s="116" t="s">
        <v>605</v>
      </c>
      <c r="D47" s="105" t="s">
        <v>151</v>
      </c>
      <c r="E47" s="107">
        <f>SUM(E44*0.005)</f>
        <v>2.12425</v>
      </c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</row>
    <row r="48" spans="1:16" s="61" customFormat="1" ht="14.25" customHeight="1">
      <c r="A48" s="103" t="s">
        <v>1583</v>
      </c>
      <c r="B48" s="87"/>
      <c r="C48" s="79" t="s">
        <v>609</v>
      </c>
      <c r="D48" s="87" t="s">
        <v>74</v>
      </c>
      <c r="E48" s="77">
        <f>E43</f>
        <v>424.85</v>
      </c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1:16" s="109" customFormat="1" ht="14.25" customHeight="1">
      <c r="A49" s="104" t="s">
        <v>1584</v>
      </c>
      <c r="B49" s="105"/>
      <c r="C49" s="116" t="s">
        <v>503</v>
      </c>
      <c r="D49" s="105" t="s">
        <v>504</v>
      </c>
      <c r="E49" s="107">
        <f>SUM(E48*0.15)</f>
        <v>63.7275</v>
      </c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</row>
    <row r="50" spans="1:16" s="109" customFormat="1" ht="16.5" customHeight="1">
      <c r="A50" s="104" t="s">
        <v>1585</v>
      </c>
      <c r="B50" s="105"/>
      <c r="C50" s="116" t="s">
        <v>505</v>
      </c>
      <c r="D50" s="105" t="s">
        <v>504</v>
      </c>
      <c r="E50" s="107">
        <f>SUM(E48*0.25)</f>
        <v>106.2125</v>
      </c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</row>
    <row r="51" spans="1:16" s="61" customFormat="1" ht="28.5" customHeight="1">
      <c r="A51" s="103" t="s">
        <v>1586</v>
      </c>
      <c r="B51" s="87"/>
      <c r="C51" s="79" t="s">
        <v>1587</v>
      </c>
      <c r="D51" s="87" t="s">
        <v>74</v>
      </c>
      <c r="E51" s="77">
        <v>35.31</v>
      </c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1:16" s="109" customFormat="1" ht="16.5" customHeight="1">
      <c r="A52" s="104" t="s">
        <v>1588</v>
      </c>
      <c r="B52" s="105"/>
      <c r="C52" s="116" t="s">
        <v>1589</v>
      </c>
      <c r="D52" s="105" t="s">
        <v>504</v>
      </c>
      <c r="E52" s="107">
        <f>SUM(E51*0.4)*1.05</f>
        <v>14.830200000000003</v>
      </c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</row>
    <row r="53" spans="1:16" s="109" customFormat="1" ht="16.5" customHeight="1">
      <c r="A53" s="104" t="s">
        <v>1590</v>
      </c>
      <c r="B53" s="105"/>
      <c r="C53" s="116" t="s">
        <v>616</v>
      </c>
      <c r="D53" s="105" t="s">
        <v>154</v>
      </c>
      <c r="E53" s="107">
        <f>SUM(E51*0.95)*20</f>
        <v>670.89</v>
      </c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</row>
    <row r="54" spans="1:16" s="109" customFormat="1" ht="16.5" customHeight="1">
      <c r="A54" s="104" t="s">
        <v>1591</v>
      </c>
      <c r="B54" s="105"/>
      <c r="C54" s="116" t="s">
        <v>603</v>
      </c>
      <c r="D54" s="105" t="s">
        <v>154</v>
      </c>
      <c r="E54" s="107">
        <f>SUM(E51*1.8)</f>
        <v>63.55800000000001</v>
      </c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</row>
    <row r="55" spans="1:16" s="61" customFormat="1" ht="17.25" customHeight="1">
      <c r="A55" s="103" t="s">
        <v>1592</v>
      </c>
      <c r="B55" s="87"/>
      <c r="C55" s="79" t="s">
        <v>1483</v>
      </c>
      <c r="D55" s="87" t="s">
        <v>74</v>
      </c>
      <c r="E55" s="77">
        <v>35.31</v>
      </c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1:16" s="109" customFormat="1" ht="15.75" customHeight="1">
      <c r="A56" s="104" t="s">
        <v>1593</v>
      </c>
      <c r="B56" s="105"/>
      <c r="C56" s="116" t="s">
        <v>503</v>
      </c>
      <c r="D56" s="105" t="s">
        <v>504</v>
      </c>
      <c r="E56" s="107">
        <f>SUM(E55*0.15)</f>
        <v>5.2965</v>
      </c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</row>
    <row r="57" spans="1:16" s="109" customFormat="1" ht="14.25" customHeight="1">
      <c r="A57" s="104" t="s">
        <v>1594</v>
      </c>
      <c r="B57" s="105"/>
      <c r="C57" s="116" t="s">
        <v>505</v>
      </c>
      <c r="D57" s="105" t="s">
        <v>504</v>
      </c>
      <c r="E57" s="107">
        <f>SUM(E55*0.25)</f>
        <v>8.8275</v>
      </c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</row>
    <row r="58" spans="1:16" s="51" customFormat="1" ht="14.25" customHeight="1">
      <c r="A58" s="103"/>
      <c r="B58" s="66"/>
      <c r="C58" s="212" t="s">
        <v>644</v>
      </c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51" customFormat="1" ht="30" customHeight="1">
      <c r="A59" s="103" t="s">
        <v>1595</v>
      </c>
      <c r="B59" s="66"/>
      <c r="C59" s="79" t="s">
        <v>1596</v>
      </c>
      <c r="D59" s="87" t="s">
        <v>74</v>
      </c>
      <c r="E59" s="77">
        <v>43.37</v>
      </c>
      <c r="F59" s="77"/>
      <c r="G59" s="77"/>
      <c r="H59" s="78"/>
      <c r="I59" s="78"/>
      <c r="J59" s="78"/>
      <c r="K59" s="78"/>
      <c r="L59" s="78"/>
      <c r="M59" s="78"/>
      <c r="N59" s="78"/>
      <c r="O59" s="78"/>
      <c r="P59" s="78"/>
    </row>
    <row r="60" spans="1:16" s="109" customFormat="1" ht="37.5" customHeight="1">
      <c r="A60" s="103" t="s">
        <v>1597</v>
      </c>
      <c r="B60" s="105"/>
      <c r="C60" s="79" t="s">
        <v>1598</v>
      </c>
      <c r="D60" s="87" t="s">
        <v>74</v>
      </c>
      <c r="E60" s="77">
        <v>179.84</v>
      </c>
      <c r="F60" s="77"/>
      <c r="G60" s="77"/>
      <c r="H60" s="78"/>
      <c r="I60" s="78"/>
      <c r="J60" s="78"/>
      <c r="K60" s="78"/>
      <c r="L60" s="78"/>
      <c r="M60" s="78"/>
      <c r="N60" s="78"/>
      <c r="O60" s="78"/>
      <c r="P60" s="78"/>
    </row>
  </sheetData>
  <mergeCells count="10">
    <mergeCell ref="N8:O8"/>
    <mergeCell ref="I9:P9"/>
    <mergeCell ref="A10:H10"/>
    <mergeCell ref="A11:A12"/>
    <mergeCell ref="B11:B12"/>
    <mergeCell ref="C11:C12"/>
    <mergeCell ref="D11:D12"/>
    <mergeCell ref="E11:E12"/>
    <mergeCell ref="F11:K11"/>
    <mergeCell ref="L11:P11"/>
  </mergeCells>
  <printOptions horizontalCentered="1"/>
  <pageMargins left="0.39375" right="0.39375" top="0.9840277777777777" bottom="0.5902777777777778" header="0.5118055555555555" footer="0.19652777777777777"/>
  <pageSetup horizontalDpi="300" verticalDpi="300" orientation="landscape" paperSize="9" scale="85"/>
  <headerFooter alignWithMargins="0">
    <oddFooter>&amp;CPage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N34"/>
  <sheetViews>
    <sheetView zoomScaleSheetLayoutView="140" workbookViewId="0" topLeftCell="A10">
      <selection activeCell="G28" sqref="G28"/>
    </sheetView>
  </sheetViews>
  <sheetFormatPr defaultColWidth="9.140625" defaultRowHeight="12.75"/>
  <cols>
    <col min="1" max="1" width="5.421875" style="29" customWidth="1"/>
    <col min="2" max="2" width="14.421875" style="11" customWidth="1"/>
    <col min="3" max="3" width="24.28125" style="11" customWidth="1"/>
    <col min="4" max="4" width="15.00390625" style="11" customWidth="1"/>
    <col min="5" max="8" width="12.8515625" style="11" customWidth="1"/>
    <col min="9" max="11" width="9.140625" style="11" customWidth="1"/>
    <col min="12" max="12" width="10.140625" style="11" customWidth="1"/>
    <col min="13" max="16384" width="9.140625" style="11" customWidth="1"/>
  </cols>
  <sheetData>
    <row r="3" spans="1:8" ht="12.75" customHeight="1">
      <c r="A3" s="30" t="s">
        <v>22</v>
      </c>
      <c r="B3" s="30"/>
      <c r="C3" s="30"/>
      <c r="D3" s="30"/>
      <c r="E3" s="30"/>
      <c r="F3" s="30"/>
      <c r="G3" s="30"/>
      <c r="H3" s="30"/>
    </row>
    <row r="4" spans="2:14" ht="12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4" ht="12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12">
      <c r="A6" s="7" t="s">
        <v>23</v>
      </c>
      <c r="B6" s="8"/>
      <c r="C6" s="7" t="s">
        <v>24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2">
      <c r="A7" s="7" t="s">
        <v>25</v>
      </c>
      <c r="B7" s="10"/>
      <c r="C7" s="32" t="s">
        <v>26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2">
      <c r="A8" s="7" t="s">
        <v>4</v>
      </c>
      <c r="B8" s="8"/>
      <c r="C8" s="9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3" ht="12">
      <c r="A9" s="10" t="s">
        <v>5</v>
      </c>
      <c r="C9" s="9" t="s">
        <v>6</v>
      </c>
    </row>
    <row r="10" spans="1:7" s="54" customFormat="1" ht="12.75" customHeight="1">
      <c r="A10" s="7" t="s">
        <v>7</v>
      </c>
      <c r="B10" s="10"/>
      <c r="C10" s="51" t="s">
        <v>8</v>
      </c>
      <c r="D10" s="52"/>
      <c r="E10" s="52"/>
      <c r="F10" s="52"/>
      <c r="G10" s="53"/>
    </row>
    <row r="11" spans="1:3" s="54" customFormat="1" ht="12">
      <c r="A11" s="7" t="s">
        <v>9</v>
      </c>
      <c r="B11" s="8"/>
      <c r="C11" s="7" t="s">
        <v>10</v>
      </c>
    </row>
    <row r="12" spans="1:8" s="54" customFormat="1" ht="16.5" customHeight="1">
      <c r="A12" s="46"/>
      <c r="D12" s="52"/>
      <c r="E12" s="52"/>
      <c r="F12" s="55"/>
      <c r="G12" s="55"/>
      <c r="H12" s="55"/>
    </row>
    <row r="13" spans="4:8" ht="7.5" customHeight="1">
      <c r="D13" s="33"/>
      <c r="E13" s="33"/>
      <c r="F13" s="34"/>
      <c r="G13" s="34"/>
      <c r="H13" s="34"/>
    </row>
    <row r="14" spans="1:8" ht="12.75" customHeight="1">
      <c r="A14" s="35" t="s">
        <v>27</v>
      </c>
      <c r="B14" s="35" t="s">
        <v>28</v>
      </c>
      <c r="C14" s="35" t="s">
        <v>29</v>
      </c>
      <c r="D14" s="35" t="s">
        <v>30</v>
      </c>
      <c r="E14" s="39" t="s">
        <v>48</v>
      </c>
      <c r="F14" s="39"/>
      <c r="G14" s="39"/>
      <c r="H14" s="35" t="s">
        <v>49</v>
      </c>
    </row>
    <row r="15" spans="1:8" ht="12.75" customHeight="1">
      <c r="A15" s="35"/>
      <c r="B15" s="35"/>
      <c r="C15" s="35"/>
      <c r="D15" s="35"/>
      <c r="E15" s="35" t="s">
        <v>50</v>
      </c>
      <c r="F15" s="35" t="s">
        <v>51</v>
      </c>
      <c r="G15" s="35" t="s">
        <v>52</v>
      </c>
      <c r="H15" s="35"/>
    </row>
    <row r="16" spans="1:8" ht="12">
      <c r="A16" s="35"/>
      <c r="B16" s="35"/>
      <c r="C16" s="35"/>
      <c r="D16" s="35"/>
      <c r="E16" s="35"/>
      <c r="F16" s="35"/>
      <c r="G16" s="35"/>
      <c r="H16" s="35"/>
    </row>
    <row r="17" spans="1:8" ht="12">
      <c r="A17" s="35"/>
      <c r="B17" s="35"/>
      <c r="C17" s="35"/>
      <c r="D17" s="35"/>
      <c r="E17" s="35"/>
      <c r="F17" s="35"/>
      <c r="G17" s="35"/>
      <c r="H17" s="35"/>
    </row>
    <row r="18" spans="1:12" ht="17.25" customHeight="1">
      <c r="A18" s="38" t="s">
        <v>53</v>
      </c>
      <c r="B18" s="38"/>
      <c r="C18" s="38"/>
      <c r="D18" s="38"/>
      <c r="E18" s="38"/>
      <c r="F18" s="38"/>
      <c r="G18" s="38"/>
      <c r="H18" s="38"/>
      <c r="L18" s="43"/>
    </row>
    <row r="19" spans="1:12" ht="19.5" customHeight="1">
      <c r="A19" s="39">
        <v>16</v>
      </c>
      <c r="B19" s="39" t="str">
        <f>'16_TS'!G1</f>
        <v>BA-16/3/2010</v>
      </c>
      <c r="C19" s="56" t="str">
        <f>'16_TS'!G2</f>
        <v>Teritorijas sadaļa</v>
      </c>
      <c r="D19" s="57"/>
      <c r="E19" s="57"/>
      <c r="F19" s="57"/>
      <c r="G19" s="57"/>
      <c r="H19" s="57"/>
      <c r="L19" s="43"/>
    </row>
    <row r="20" spans="1:12" ht="19.5" customHeight="1">
      <c r="A20" s="39">
        <v>17</v>
      </c>
      <c r="B20" s="39" t="str">
        <f>'17_Pagrabs'!G1</f>
        <v>BA-17/3/2010</v>
      </c>
      <c r="C20" s="56" t="str">
        <f>'17_Pagrabs'!G2</f>
        <v>Pagraba izbūves darbi</v>
      </c>
      <c r="D20" s="57"/>
      <c r="E20" s="57"/>
      <c r="F20" s="57"/>
      <c r="G20" s="57"/>
      <c r="H20" s="57"/>
      <c r="L20" s="43"/>
    </row>
    <row r="21" spans="1:12" ht="25.5" customHeight="1">
      <c r="A21" s="39">
        <v>18</v>
      </c>
      <c r="B21" s="39" t="str">
        <f>'18_Apkure I st.'!G1</f>
        <v>BA-18/3/2010</v>
      </c>
      <c r="C21" s="56" t="str">
        <f>'18_Apkure I st.'!G2</f>
        <v>Apkure 1. stāvs esošā ēkas daļa</v>
      </c>
      <c r="D21" s="57"/>
      <c r="E21" s="57"/>
      <c r="F21" s="57"/>
      <c r="G21" s="57"/>
      <c r="H21" s="57"/>
      <c r="L21" s="43"/>
    </row>
    <row r="22" spans="1:12" ht="25.5" customHeight="1">
      <c r="A22" s="39">
        <v>19</v>
      </c>
      <c r="B22" s="39" t="str">
        <f>'19_Iekšējie apdares. darbi 1st.'!G1</f>
        <v>BA-19/3/2010</v>
      </c>
      <c r="C22" s="56" t="str">
        <f>'19_Iekšējie apdares. darbi 1st.'!G2</f>
        <v>Iekšējie apdares darbi 1.stāvs</v>
      </c>
      <c r="D22" s="57"/>
      <c r="E22" s="57"/>
      <c r="F22" s="57"/>
      <c r="G22" s="57"/>
      <c r="H22" s="57"/>
      <c r="L22" s="43"/>
    </row>
    <row r="23" spans="1:12" ht="10.5" customHeight="1">
      <c r="A23" s="44" t="s">
        <v>37</v>
      </c>
      <c r="B23" s="44"/>
      <c r="C23" s="44"/>
      <c r="D23" s="45"/>
      <c r="E23" s="45"/>
      <c r="F23" s="45"/>
      <c r="G23" s="45"/>
      <c r="H23" s="45"/>
      <c r="L23" s="43"/>
    </row>
    <row r="24" spans="1:8" ht="12">
      <c r="A24" s="44" t="s">
        <v>38</v>
      </c>
      <c r="B24" s="44"/>
      <c r="C24" s="44"/>
      <c r="D24" s="45"/>
      <c r="E24" s="46"/>
      <c r="F24" s="46"/>
      <c r="G24" s="46"/>
      <c r="H24" s="46"/>
    </row>
    <row r="25" spans="1:8" ht="12">
      <c r="A25" s="47" t="s">
        <v>39</v>
      </c>
      <c r="B25" s="47"/>
      <c r="C25" s="47"/>
      <c r="D25" s="45"/>
      <c r="E25" s="46"/>
      <c r="F25" s="46"/>
      <c r="G25" s="46"/>
      <c r="H25" s="46"/>
    </row>
    <row r="26" spans="1:8" ht="12">
      <c r="A26" s="44" t="s">
        <v>40</v>
      </c>
      <c r="B26" s="44"/>
      <c r="C26" s="44"/>
      <c r="D26" s="45"/>
      <c r="E26" s="46"/>
      <c r="F26" s="46"/>
      <c r="G26" s="46"/>
      <c r="H26" s="46"/>
    </row>
    <row r="27" spans="1:8" ht="12">
      <c r="A27" s="44" t="s">
        <v>41</v>
      </c>
      <c r="B27" s="44"/>
      <c r="C27" s="44"/>
      <c r="D27" s="45"/>
      <c r="E27" s="46"/>
      <c r="F27" s="46"/>
      <c r="G27" s="46"/>
      <c r="H27" s="46"/>
    </row>
    <row r="28" spans="1:8" ht="12">
      <c r="A28" s="44" t="s">
        <v>42</v>
      </c>
      <c r="B28" s="44"/>
      <c r="C28" s="44"/>
      <c r="D28" s="45"/>
      <c r="E28" s="46"/>
      <c r="F28" s="46"/>
      <c r="G28" s="46"/>
      <c r="H28" s="46"/>
    </row>
    <row r="29" spans="1:8" ht="12">
      <c r="A29" s="48"/>
      <c r="B29"/>
      <c r="C29"/>
      <c r="D29"/>
      <c r="E29"/>
      <c r="F29"/>
      <c r="G29"/>
      <c r="H29"/>
    </row>
    <row r="30" spans="1:8" ht="13.5">
      <c r="A30" s="49" t="s">
        <v>43</v>
      </c>
      <c r="B30" s="22"/>
      <c r="C30" s="22" t="s">
        <v>44</v>
      </c>
      <c r="D30" s="22"/>
      <c r="E30" s="23"/>
      <c r="F30" s="23"/>
      <c r="G30" s="23"/>
      <c r="H30"/>
    </row>
    <row r="31" spans="1:8" ht="14.25">
      <c r="A31" s="48"/>
      <c r="B31"/>
      <c r="C31" s="24" t="s">
        <v>20</v>
      </c>
      <c r="D31"/>
      <c r="E31" s="22"/>
      <c r="F31" s="22"/>
      <c r="G31" s="22"/>
      <c r="H31"/>
    </row>
    <row r="32" spans="1:8" ht="14.25">
      <c r="A32" s="48"/>
      <c r="B32"/>
      <c r="C32" s="24"/>
      <c r="D32"/>
      <c r="E32"/>
      <c r="F32"/>
      <c r="G32"/>
      <c r="H32"/>
    </row>
    <row r="33" spans="1:8" ht="14.25">
      <c r="A33" s="50" t="s">
        <v>45</v>
      </c>
      <c r="B33" s="25"/>
      <c r="C33" s="24" t="s">
        <v>44</v>
      </c>
      <c r="D33" s="25" t="s">
        <v>46</v>
      </c>
      <c r="E33" s="25" t="s">
        <v>47</v>
      </c>
      <c r="F33" s="27"/>
      <c r="G33" s="27"/>
      <c r="H33"/>
    </row>
    <row r="34" spans="1:8" ht="14.25">
      <c r="A34" s="48"/>
      <c r="B34"/>
      <c r="C34" s="24" t="s">
        <v>20</v>
      </c>
      <c r="D34"/>
      <c r="E34" s="25"/>
      <c r="F34" s="25"/>
      <c r="G34" s="25"/>
      <c r="H34"/>
    </row>
  </sheetData>
  <mergeCells count="20">
    <mergeCell ref="A3:H3"/>
    <mergeCell ref="D12:E12"/>
    <mergeCell ref="F12:H12"/>
    <mergeCell ref="A14:A17"/>
    <mergeCell ref="B14:B17"/>
    <mergeCell ref="C14:C17"/>
    <mergeCell ref="D14:D17"/>
    <mergeCell ref="E14:G14"/>
    <mergeCell ref="H14:H17"/>
    <mergeCell ref="E15:E17"/>
    <mergeCell ref="F15:F17"/>
    <mergeCell ref="G15:G17"/>
    <mergeCell ref="A18:H18"/>
    <mergeCell ref="A23:C23"/>
    <mergeCell ref="A24:C24"/>
    <mergeCell ref="A25:C25"/>
    <mergeCell ref="A26:C26"/>
    <mergeCell ref="A27:C27"/>
    <mergeCell ref="A28:C28"/>
    <mergeCell ref="E30:G30"/>
  </mergeCells>
  <printOptions/>
  <pageMargins left="0.39375" right="0.39375" top="0.9840277777777777" bottom="0.5902777777777778" header="0.5118055555555555" footer="0.19652777777777777"/>
  <pageSetup horizontalDpi="300" verticalDpi="300" orientation="portrait" paperSize="9" scale="85"/>
  <headerFooter alignWithMargins="0">
    <oddFooter>&amp;CPage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zoomScaleSheetLayoutView="140" workbookViewId="0" topLeftCell="A1">
      <selection activeCell="E8" sqref="E8"/>
    </sheetView>
  </sheetViews>
  <sheetFormatPr defaultColWidth="9.140625" defaultRowHeight="12.75"/>
  <cols>
    <col min="1" max="1" width="7.140625" style="9" customWidth="1"/>
    <col min="2" max="2" width="5.00390625" style="9" customWidth="1"/>
    <col min="3" max="3" width="33.57421875" style="9" customWidth="1"/>
    <col min="4" max="4" width="7.140625" style="9" customWidth="1"/>
    <col min="5" max="10" width="8.57421875" style="9" customWidth="1"/>
    <col min="11" max="16" width="10.00390625" style="9" customWidth="1"/>
    <col min="17" max="16384" width="9.140625" style="9" customWidth="1"/>
  </cols>
  <sheetData>
    <row r="1" spans="1:16" ht="14.25">
      <c r="A1" s="58"/>
      <c r="B1" s="58"/>
      <c r="C1" s="58"/>
      <c r="D1" s="58"/>
      <c r="E1" s="58"/>
      <c r="F1" s="58"/>
      <c r="G1" s="58" t="s">
        <v>54</v>
      </c>
      <c r="H1" s="58"/>
      <c r="I1" s="58"/>
      <c r="J1" s="58"/>
      <c r="K1" s="58"/>
      <c r="L1" s="58"/>
      <c r="M1" s="58"/>
      <c r="N1" s="58"/>
      <c r="O1" s="58"/>
      <c r="P1" s="58"/>
    </row>
    <row r="2" spans="1:16" ht="14.25">
      <c r="A2" s="59"/>
      <c r="B2" s="59"/>
      <c r="C2" s="59"/>
      <c r="D2" s="59"/>
      <c r="E2" s="59"/>
      <c r="F2" s="59"/>
      <c r="G2" s="59" t="s">
        <v>55</v>
      </c>
      <c r="H2" s="59"/>
      <c r="I2" s="59"/>
      <c r="J2" s="59"/>
      <c r="K2" s="59"/>
      <c r="L2" s="59"/>
      <c r="M2" s="59"/>
      <c r="N2" s="59"/>
      <c r="O2" s="59"/>
      <c r="P2" s="59"/>
    </row>
    <row r="3" spans="1:16" ht="12" customHeight="1">
      <c r="A3" s="7" t="s">
        <v>23</v>
      </c>
      <c r="B3" s="8"/>
      <c r="C3"/>
      <c r="D3" s="7" t="s">
        <v>24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ht="12.75" customHeight="1">
      <c r="A4" s="7" t="s">
        <v>25</v>
      </c>
      <c r="B4" s="10"/>
      <c r="C4"/>
      <c r="D4" s="32" t="s">
        <v>26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2.75" customHeight="1">
      <c r="A5" s="7" t="s">
        <v>4</v>
      </c>
      <c r="B5" s="8"/>
      <c r="C5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4" ht="12.75" customHeight="1">
      <c r="A6" s="10" t="s">
        <v>5</v>
      </c>
      <c r="B6" s="11"/>
      <c r="C6"/>
      <c r="D6" s="9" t="s">
        <v>6</v>
      </c>
    </row>
    <row r="7" spans="1:4" ht="12.75" customHeight="1">
      <c r="A7" s="7" t="s">
        <v>7</v>
      </c>
      <c r="B7" s="10"/>
      <c r="C7"/>
      <c r="D7" s="51" t="s">
        <v>8</v>
      </c>
    </row>
    <row r="8" spans="1:16" ht="12.75" customHeight="1">
      <c r="A8" s="7" t="s">
        <v>9</v>
      </c>
      <c r="B8" s="8"/>
      <c r="C8"/>
      <c r="D8" s="7" t="s">
        <v>10</v>
      </c>
      <c r="E8" s="10"/>
      <c r="F8" s="10"/>
      <c r="G8" s="10"/>
      <c r="H8" s="10"/>
      <c r="I8" s="61"/>
      <c r="J8" s="61"/>
      <c r="K8" s="62"/>
      <c r="L8" s="62"/>
      <c r="M8" s="61"/>
      <c r="N8" s="63"/>
      <c r="O8" s="63"/>
      <c r="P8" s="61"/>
    </row>
    <row r="9" spans="9:16" ht="12">
      <c r="I9" s="7"/>
      <c r="J9" s="7"/>
      <c r="K9" s="7"/>
      <c r="L9" s="7"/>
      <c r="M9" s="7"/>
      <c r="N9" s="7"/>
      <c r="O9" s="7"/>
      <c r="P9" s="7"/>
    </row>
    <row r="10" spans="1:8" ht="12.75" customHeight="1">
      <c r="A10" s="64"/>
      <c r="B10" s="64"/>
      <c r="C10" s="64"/>
      <c r="D10" s="64"/>
      <c r="E10" s="64"/>
      <c r="F10" s="64"/>
      <c r="G10" s="64"/>
      <c r="H10" s="64"/>
    </row>
    <row r="11" spans="1:16" ht="18" customHeight="1">
      <c r="A11" s="39" t="s">
        <v>56</v>
      </c>
      <c r="B11" s="65" t="s">
        <v>57</v>
      </c>
      <c r="C11" s="66" t="s">
        <v>58</v>
      </c>
      <c r="D11" s="65" t="s">
        <v>59</v>
      </c>
      <c r="E11" s="65" t="s">
        <v>60</v>
      </c>
      <c r="F11" s="66" t="s">
        <v>61</v>
      </c>
      <c r="G11" s="66"/>
      <c r="H11" s="66"/>
      <c r="I11" s="66"/>
      <c r="J11" s="66"/>
      <c r="K11" s="66"/>
      <c r="L11" s="66" t="s">
        <v>62</v>
      </c>
      <c r="M11" s="66" t="s">
        <v>62</v>
      </c>
      <c r="N11" s="66"/>
      <c r="O11" s="66"/>
      <c r="P11" s="66"/>
    </row>
    <row r="12" spans="1:16" ht="56.25" customHeight="1">
      <c r="A12" s="39"/>
      <c r="B12" s="65"/>
      <c r="C12" s="66"/>
      <c r="D12" s="65"/>
      <c r="E12" s="65"/>
      <c r="F12" s="65" t="s">
        <v>63</v>
      </c>
      <c r="G12" s="65" t="s">
        <v>64</v>
      </c>
      <c r="H12" s="65" t="s">
        <v>65</v>
      </c>
      <c r="I12" s="65" t="s">
        <v>66</v>
      </c>
      <c r="J12" s="65" t="s">
        <v>67</v>
      </c>
      <c r="K12" s="65" t="s">
        <v>68</v>
      </c>
      <c r="L12" s="65" t="s">
        <v>49</v>
      </c>
      <c r="M12" s="65" t="s">
        <v>69</v>
      </c>
      <c r="N12" s="65" t="s">
        <v>70</v>
      </c>
      <c r="O12" s="65" t="s">
        <v>67</v>
      </c>
      <c r="P12" s="65" t="s">
        <v>71</v>
      </c>
    </row>
    <row r="13" spans="1:16" ht="15" customHeight="1">
      <c r="A13" s="67">
        <v>1</v>
      </c>
      <c r="B13" s="67">
        <v>2</v>
      </c>
      <c r="C13" s="67">
        <v>3</v>
      </c>
      <c r="D13" s="67">
        <v>4</v>
      </c>
      <c r="E13" s="67">
        <v>5</v>
      </c>
      <c r="F13" s="67">
        <v>6</v>
      </c>
      <c r="G13" s="67">
        <v>7</v>
      </c>
      <c r="H13" s="67">
        <v>8</v>
      </c>
      <c r="I13" s="67">
        <v>9</v>
      </c>
      <c r="J13" s="67">
        <v>10</v>
      </c>
      <c r="K13" s="67">
        <v>11</v>
      </c>
      <c r="L13" s="67">
        <v>12</v>
      </c>
      <c r="M13" s="67">
        <v>13</v>
      </c>
      <c r="N13" s="67">
        <v>14</v>
      </c>
      <c r="O13" s="67">
        <v>15</v>
      </c>
      <c r="P13" s="67">
        <v>16</v>
      </c>
    </row>
    <row r="14" spans="1:16" ht="15.75" customHeight="1">
      <c r="A14" s="68"/>
      <c r="B14" s="69"/>
      <c r="C14" s="70"/>
      <c r="D14" s="69"/>
      <c r="E14" s="69"/>
      <c r="F14" s="71"/>
      <c r="G14" s="72"/>
      <c r="H14" s="71"/>
      <c r="I14" s="71"/>
      <c r="J14" s="72"/>
      <c r="K14" s="71"/>
      <c r="L14" s="71"/>
      <c r="M14" s="71"/>
      <c r="N14" s="71"/>
      <c r="O14" s="71"/>
      <c r="P14" s="71"/>
    </row>
    <row r="15" spans="1:16" s="61" customFormat="1" ht="26.25" customHeight="1">
      <c r="A15" s="73" t="s">
        <v>72</v>
      </c>
      <c r="B15" s="71"/>
      <c r="C15" s="74" t="s">
        <v>73</v>
      </c>
      <c r="D15" s="75" t="s">
        <v>74</v>
      </c>
      <c r="E15" s="75">
        <v>378</v>
      </c>
      <c r="F15" s="76"/>
      <c r="G15" s="77"/>
      <c r="H15" s="78"/>
      <c r="I15" s="78"/>
      <c r="J15" s="78"/>
      <c r="K15" s="78"/>
      <c r="L15" s="78"/>
      <c r="M15" s="78"/>
      <c r="N15" s="78"/>
      <c r="O15" s="78"/>
      <c r="P15" s="78"/>
    </row>
    <row r="16" spans="1:16" s="61" customFormat="1" ht="31.5" customHeight="1">
      <c r="A16" s="73" t="s">
        <v>75</v>
      </c>
      <c r="B16" s="71"/>
      <c r="C16" s="74" t="s">
        <v>76</v>
      </c>
      <c r="D16" s="75" t="s">
        <v>77</v>
      </c>
      <c r="E16" s="75">
        <v>45</v>
      </c>
      <c r="F16" s="76"/>
      <c r="G16" s="77"/>
      <c r="H16" s="78"/>
      <c r="I16" s="78"/>
      <c r="J16" s="78"/>
      <c r="K16" s="78"/>
      <c r="L16" s="78"/>
      <c r="M16" s="78"/>
      <c r="N16" s="78"/>
      <c r="O16" s="78"/>
      <c r="P16" s="78"/>
    </row>
    <row r="17" spans="1:16" s="61" customFormat="1" ht="27.75" customHeight="1">
      <c r="A17" s="73" t="s">
        <v>78</v>
      </c>
      <c r="B17" s="71"/>
      <c r="C17" s="74" t="s">
        <v>79</v>
      </c>
      <c r="D17" s="75" t="s">
        <v>74</v>
      </c>
      <c r="E17" s="75">
        <v>43</v>
      </c>
      <c r="F17" s="76"/>
      <c r="G17" s="77"/>
      <c r="H17" s="78"/>
      <c r="I17" s="78"/>
      <c r="J17" s="78"/>
      <c r="K17" s="78"/>
      <c r="L17" s="78"/>
      <c r="M17" s="78"/>
      <c r="N17" s="78"/>
      <c r="O17" s="78"/>
      <c r="P17" s="78"/>
    </row>
    <row r="18" spans="1:16" s="61" customFormat="1" ht="15.75" customHeight="1">
      <c r="A18" s="73" t="s">
        <v>80</v>
      </c>
      <c r="B18" s="71"/>
      <c r="C18" s="74" t="s">
        <v>81</v>
      </c>
      <c r="D18" s="75" t="s">
        <v>74</v>
      </c>
      <c r="E18" s="75">
        <v>378</v>
      </c>
      <c r="F18" s="76"/>
      <c r="G18" s="77"/>
      <c r="H18" s="78"/>
      <c r="I18" s="78"/>
      <c r="J18" s="78"/>
      <c r="K18" s="78"/>
      <c r="L18" s="78"/>
      <c r="M18" s="78"/>
      <c r="N18" s="78"/>
      <c r="O18" s="78"/>
      <c r="P18" s="78"/>
    </row>
    <row r="19" spans="1:16" s="61" customFormat="1" ht="15.75" customHeight="1">
      <c r="A19" s="73" t="s">
        <v>82</v>
      </c>
      <c r="B19" s="71"/>
      <c r="C19" s="74" t="s">
        <v>83</v>
      </c>
      <c r="D19" s="75" t="s">
        <v>77</v>
      </c>
      <c r="E19" s="75">
        <v>375</v>
      </c>
      <c r="F19" s="76"/>
      <c r="G19" s="77"/>
      <c r="H19" s="78"/>
      <c r="I19" s="78"/>
      <c r="J19" s="78"/>
      <c r="K19" s="78"/>
      <c r="L19" s="78"/>
      <c r="M19" s="78"/>
      <c r="N19" s="78"/>
      <c r="O19" s="78"/>
      <c r="P19" s="78"/>
    </row>
    <row r="20" spans="1:16" s="61" customFormat="1" ht="28.5" customHeight="1">
      <c r="A20" s="73" t="s">
        <v>84</v>
      </c>
      <c r="B20" s="71"/>
      <c r="C20" s="74" t="s">
        <v>85</v>
      </c>
      <c r="D20" s="75" t="s">
        <v>77</v>
      </c>
      <c r="E20" s="75">
        <v>125</v>
      </c>
      <c r="F20" s="76"/>
      <c r="G20" s="77"/>
      <c r="H20" s="78"/>
      <c r="I20" s="78"/>
      <c r="J20" s="78"/>
      <c r="K20" s="78"/>
      <c r="L20" s="78"/>
      <c r="M20" s="78"/>
      <c r="N20" s="78"/>
      <c r="O20" s="78"/>
      <c r="P20" s="78"/>
    </row>
    <row r="21" spans="1:16" s="61" customFormat="1" ht="15.75" customHeight="1">
      <c r="A21" s="73" t="s">
        <v>86</v>
      </c>
      <c r="B21" s="71"/>
      <c r="C21" s="74" t="s">
        <v>87</v>
      </c>
      <c r="D21" s="75" t="s">
        <v>74</v>
      </c>
      <c r="E21" s="75">
        <v>13</v>
      </c>
      <c r="F21" s="76"/>
      <c r="G21" s="77"/>
      <c r="H21" s="78"/>
      <c r="I21" s="78"/>
      <c r="J21" s="78"/>
      <c r="K21" s="78"/>
      <c r="L21" s="78"/>
      <c r="M21" s="78"/>
      <c r="N21" s="78"/>
      <c r="O21" s="78"/>
      <c r="P21" s="78"/>
    </row>
    <row r="22" spans="1:16" s="61" customFormat="1" ht="37.5" customHeight="1">
      <c r="A22" s="73" t="s">
        <v>88</v>
      </c>
      <c r="B22" s="71"/>
      <c r="C22" s="74" t="s">
        <v>89</v>
      </c>
      <c r="D22" s="75" t="s">
        <v>74</v>
      </c>
      <c r="E22" s="75">
        <v>249.6</v>
      </c>
      <c r="F22" s="76"/>
      <c r="G22" s="77"/>
      <c r="H22" s="78"/>
      <c r="I22" s="78"/>
      <c r="J22" s="78"/>
      <c r="K22" s="78"/>
      <c r="L22" s="78"/>
      <c r="M22" s="78"/>
      <c r="N22" s="78"/>
      <c r="O22" s="78"/>
      <c r="P22" s="78"/>
    </row>
    <row r="23" spans="1:16" s="61" customFormat="1" ht="30" customHeight="1">
      <c r="A23" s="73" t="s">
        <v>90</v>
      </c>
      <c r="B23" s="71"/>
      <c r="C23" s="74" t="s">
        <v>91</v>
      </c>
      <c r="D23" s="75" t="s">
        <v>92</v>
      </c>
      <c r="E23" s="75">
        <v>3.72</v>
      </c>
      <c r="F23" s="76"/>
      <c r="G23" s="77"/>
      <c r="H23" s="78"/>
      <c r="I23" s="78"/>
      <c r="J23" s="78"/>
      <c r="K23" s="78"/>
      <c r="L23" s="78"/>
      <c r="M23" s="78"/>
      <c r="N23" s="78"/>
      <c r="O23" s="78"/>
      <c r="P23" s="78"/>
    </row>
    <row r="24" spans="1:16" s="61" customFormat="1" ht="20.25" customHeight="1">
      <c r="A24" s="73" t="s">
        <v>93</v>
      </c>
      <c r="B24" s="71"/>
      <c r="C24" s="74" t="s">
        <v>94</v>
      </c>
      <c r="D24" s="75" t="s">
        <v>74</v>
      </c>
      <c r="E24" s="75">
        <v>4.35</v>
      </c>
      <c r="F24" s="76"/>
      <c r="G24" s="77"/>
      <c r="H24" s="78"/>
      <c r="I24" s="78"/>
      <c r="J24" s="78"/>
      <c r="K24" s="78"/>
      <c r="L24" s="78"/>
      <c r="M24" s="78"/>
      <c r="N24" s="78"/>
      <c r="O24" s="78"/>
      <c r="P24" s="78"/>
    </row>
    <row r="25" spans="1:16" s="61" customFormat="1" ht="15.75" customHeight="1">
      <c r="A25" s="73" t="s">
        <v>95</v>
      </c>
      <c r="B25" s="71"/>
      <c r="C25" s="74" t="s">
        <v>96</v>
      </c>
      <c r="D25" s="75" t="s">
        <v>74</v>
      </c>
      <c r="E25" s="75">
        <v>4.47</v>
      </c>
      <c r="F25" s="76"/>
      <c r="G25" s="77"/>
      <c r="H25" s="78"/>
      <c r="I25" s="78"/>
      <c r="J25" s="78"/>
      <c r="K25" s="78"/>
      <c r="L25" s="78"/>
      <c r="M25" s="78"/>
      <c r="N25" s="78"/>
      <c r="O25" s="78"/>
      <c r="P25" s="78"/>
    </row>
    <row r="26" spans="1:16" s="61" customFormat="1" ht="27" customHeight="1">
      <c r="A26" s="73" t="s">
        <v>97</v>
      </c>
      <c r="B26" s="71"/>
      <c r="C26" s="74" t="s">
        <v>98</v>
      </c>
      <c r="D26" s="75" t="s">
        <v>74</v>
      </c>
      <c r="E26" s="75">
        <v>10.15</v>
      </c>
      <c r="F26" s="76"/>
      <c r="G26" s="77"/>
      <c r="H26" s="78"/>
      <c r="I26" s="78"/>
      <c r="J26" s="78"/>
      <c r="K26" s="78"/>
      <c r="L26" s="78"/>
      <c r="M26" s="78"/>
      <c r="N26" s="78"/>
      <c r="O26" s="78"/>
      <c r="P26" s="78"/>
    </row>
    <row r="27" spans="1:16" s="61" customFormat="1" ht="15.75" customHeight="1">
      <c r="A27" s="73" t="s">
        <v>99</v>
      </c>
      <c r="B27" s="71"/>
      <c r="C27" s="74" t="s">
        <v>100</v>
      </c>
      <c r="D27" s="75" t="s">
        <v>92</v>
      </c>
      <c r="E27" s="75">
        <v>4.73</v>
      </c>
      <c r="F27" s="76"/>
      <c r="G27" s="77"/>
      <c r="H27" s="78"/>
      <c r="I27" s="78"/>
      <c r="J27" s="78"/>
      <c r="K27" s="78"/>
      <c r="L27" s="78"/>
      <c r="M27" s="78"/>
      <c r="N27" s="78"/>
      <c r="O27" s="78"/>
      <c r="P27" s="78"/>
    </row>
    <row r="28" spans="1:16" s="61" customFormat="1" ht="15.75" customHeight="1">
      <c r="A28" s="73" t="s">
        <v>101</v>
      </c>
      <c r="B28" s="71"/>
      <c r="C28" s="74" t="s">
        <v>102</v>
      </c>
      <c r="D28" s="75" t="s">
        <v>77</v>
      </c>
      <c r="E28" s="75">
        <v>15</v>
      </c>
      <c r="F28" s="76"/>
      <c r="G28" s="77"/>
      <c r="H28" s="78"/>
      <c r="I28" s="78"/>
      <c r="J28" s="78"/>
      <c r="K28" s="78"/>
      <c r="L28" s="78"/>
      <c r="M28" s="78"/>
      <c r="N28" s="78"/>
      <c r="O28" s="78"/>
      <c r="P28" s="78"/>
    </row>
    <row r="29" spans="1:16" s="61" customFormat="1" ht="15.75" customHeight="1">
      <c r="A29" s="73" t="s">
        <v>103</v>
      </c>
      <c r="B29" s="71"/>
      <c r="C29" s="74" t="s">
        <v>104</v>
      </c>
      <c r="D29" s="75" t="s">
        <v>105</v>
      </c>
      <c r="E29" s="75">
        <v>14</v>
      </c>
      <c r="F29" s="76"/>
      <c r="G29" s="77"/>
      <c r="H29" s="78"/>
      <c r="I29" s="78"/>
      <c r="J29" s="78"/>
      <c r="K29" s="78"/>
      <c r="L29" s="78"/>
      <c r="M29" s="78"/>
      <c r="N29" s="78"/>
      <c r="O29" s="78"/>
      <c r="P29" s="78"/>
    </row>
    <row r="30" spans="1:16" s="61" customFormat="1" ht="27.75" customHeight="1">
      <c r="A30" s="73" t="s">
        <v>106</v>
      </c>
      <c r="B30" s="71"/>
      <c r="C30" s="74" t="s">
        <v>107</v>
      </c>
      <c r="D30" s="75" t="s">
        <v>108</v>
      </c>
      <c r="E30" s="75">
        <v>1</v>
      </c>
      <c r="F30" s="76"/>
      <c r="G30" s="77"/>
      <c r="H30" s="78"/>
      <c r="I30" s="78"/>
      <c r="J30" s="78"/>
      <c r="K30" s="78"/>
      <c r="L30" s="78"/>
      <c r="M30" s="78"/>
      <c r="N30" s="78"/>
      <c r="O30" s="78"/>
      <c r="P30" s="78"/>
    </row>
    <row r="31" spans="1:16" s="31" customFormat="1" ht="30.75" customHeight="1">
      <c r="A31" s="73" t="s">
        <v>109</v>
      </c>
      <c r="B31" s="73"/>
      <c r="C31" s="74" t="s">
        <v>110</v>
      </c>
      <c r="D31" s="75" t="s">
        <v>74</v>
      </c>
      <c r="E31" s="75">
        <v>560</v>
      </c>
      <c r="F31" s="76"/>
      <c r="G31" s="77"/>
      <c r="H31" s="78"/>
      <c r="I31" s="78"/>
      <c r="J31" s="78"/>
      <c r="K31" s="78"/>
      <c r="L31" s="78"/>
      <c r="M31" s="78"/>
      <c r="N31" s="78"/>
      <c r="O31" s="78"/>
      <c r="P31" s="78"/>
    </row>
    <row r="32" spans="1:16" s="61" customFormat="1" ht="18" customHeight="1">
      <c r="A32" s="73" t="s">
        <v>111</v>
      </c>
      <c r="B32" s="73"/>
      <c r="C32" s="74" t="s">
        <v>112</v>
      </c>
      <c r="D32" s="75" t="s">
        <v>108</v>
      </c>
      <c r="E32" s="75">
        <v>1</v>
      </c>
      <c r="F32" s="76"/>
      <c r="G32" s="77"/>
      <c r="H32" s="78"/>
      <c r="I32" s="78"/>
      <c r="J32" s="78"/>
      <c r="K32" s="78"/>
      <c r="L32" s="78"/>
      <c r="M32" s="78"/>
      <c r="N32" s="78"/>
      <c r="O32" s="78"/>
      <c r="P32" s="78"/>
    </row>
    <row r="33" spans="1:16" s="61" customFormat="1" ht="42" customHeight="1">
      <c r="A33" s="73" t="s">
        <v>113</v>
      </c>
      <c r="B33" s="73"/>
      <c r="C33" s="79" t="s">
        <v>114</v>
      </c>
      <c r="D33" s="37" t="s">
        <v>115</v>
      </c>
      <c r="E33" s="37">
        <v>4.15</v>
      </c>
      <c r="F33" s="80"/>
      <c r="G33" s="77"/>
      <c r="H33" s="78"/>
      <c r="I33" s="78"/>
      <c r="J33" s="78"/>
      <c r="K33" s="78"/>
      <c r="L33" s="78"/>
      <c r="M33" s="78"/>
      <c r="N33" s="78"/>
      <c r="O33" s="78"/>
      <c r="P33" s="78"/>
    </row>
    <row r="34" spans="1:16" s="61" customFormat="1" ht="56.25" customHeight="1">
      <c r="A34" s="73" t="s">
        <v>116</v>
      </c>
      <c r="B34" s="73"/>
      <c r="C34" s="79" t="s">
        <v>117</v>
      </c>
      <c r="D34" s="37" t="s">
        <v>118</v>
      </c>
      <c r="E34" s="37">
        <v>1</v>
      </c>
      <c r="F34" s="80"/>
      <c r="G34" s="77"/>
      <c r="H34" s="78"/>
      <c r="I34" s="78"/>
      <c r="J34" s="78"/>
      <c r="K34" s="78"/>
      <c r="L34" s="78"/>
      <c r="M34" s="78"/>
      <c r="N34" s="78"/>
      <c r="O34" s="78"/>
      <c r="P34" s="78"/>
    </row>
    <row r="35" spans="1:16" s="61" customFormat="1" ht="14.25" customHeight="1">
      <c r="A35" s="81"/>
      <c r="B35" s="81"/>
      <c r="C35" s="82"/>
      <c r="D35" s="83"/>
      <c r="E35" s="83"/>
      <c r="F35" s="84"/>
      <c r="G35" s="85"/>
      <c r="H35" s="86"/>
      <c r="I35" s="86"/>
      <c r="J35" s="86"/>
      <c r="K35" s="86"/>
      <c r="L35" s="86"/>
      <c r="M35" s="86"/>
      <c r="N35" s="86"/>
      <c r="O35" s="86"/>
      <c r="P35" s="86"/>
    </row>
  </sheetData>
  <mergeCells count="10">
    <mergeCell ref="N8:O8"/>
    <mergeCell ref="I9:P9"/>
    <mergeCell ref="A10:H10"/>
    <mergeCell ref="A11:A12"/>
    <mergeCell ref="B11:B12"/>
    <mergeCell ref="C11:C12"/>
    <mergeCell ref="D11:D12"/>
    <mergeCell ref="E11:E12"/>
    <mergeCell ref="F11:K11"/>
    <mergeCell ref="L11:P11"/>
  </mergeCells>
  <printOptions horizontalCentered="1"/>
  <pageMargins left="0.39375" right="0.39375" top="0.9840277777777777" bottom="0.5902777777777778" header="0.5118055555555555" footer="0.19652777777777777"/>
  <pageSetup horizontalDpi="300" verticalDpi="300" orientation="landscape" paperSize="9" scale="85"/>
  <headerFooter alignWithMargins="0">
    <oddFooter>&amp;CPage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zoomScaleSheetLayoutView="140" workbookViewId="0" topLeftCell="A1">
      <selection activeCell="K8" sqref="K8"/>
    </sheetView>
  </sheetViews>
  <sheetFormatPr defaultColWidth="9.140625" defaultRowHeight="12.75"/>
  <cols>
    <col min="1" max="1" width="7.140625" style="9" customWidth="1"/>
    <col min="2" max="2" width="5.00390625" style="9" customWidth="1"/>
    <col min="3" max="3" width="33.57421875" style="9" customWidth="1"/>
    <col min="4" max="4" width="7.140625" style="9" customWidth="1"/>
    <col min="5" max="10" width="8.57421875" style="9" customWidth="1"/>
    <col min="11" max="16" width="10.00390625" style="9" customWidth="1"/>
    <col min="17" max="16384" width="9.140625" style="9" customWidth="1"/>
  </cols>
  <sheetData>
    <row r="1" spans="1:16" ht="14.25">
      <c r="A1" s="58"/>
      <c r="B1" s="58"/>
      <c r="C1" s="58"/>
      <c r="D1" s="58"/>
      <c r="E1" s="58"/>
      <c r="F1" s="58"/>
      <c r="G1" s="58" t="s">
        <v>119</v>
      </c>
      <c r="H1" s="58"/>
      <c r="I1" s="58"/>
      <c r="J1" s="58"/>
      <c r="K1" s="58"/>
      <c r="L1" s="58"/>
      <c r="M1" s="58"/>
      <c r="N1" s="58"/>
      <c r="O1" s="58"/>
      <c r="P1" s="58"/>
    </row>
    <row r="2" spans="1:16" ht="14.25">
      <c r="A2" s="59"/>
      <c r="B2" s="59"/>
      <c r="C2" s="59"/>
      <c r="D2" s="59"/>
      <c r="E2" s="59"/>
      <c r="F2" s="59"/>
      <c r="G2" s="59" t="s">
        <v>120</v>
      </c>
      <c r="H2" s="59"/>
      <c r="I2" s="59"/>
      <c r="J2" s="59"/>
      <c r="K2" s="59"/>
      <c r="L2" s="59"/>
      <c r="M2" s="59"/>
      <c r="N2" s="59"/>
      <c r="O2" s="59"/>
      <c r="P2" s="59"/>
    </row>
    <row r="3" spans="1:16" ht="12" customHeight="1">
      <c r="A3" s="7" t="s">
        <v>23</v>
      </c>
      <c r="B3" s="8"/>
      <c r="C3"/>
      <c r="D3" s="7" t="s">
        <v>24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ht="12.75" customHeight="1">
      <c r="A4" s="7" t="s">
        <v>25</v>
      </c>
      <c r="B4" s="10"/>
      <c r="C4"/>
      <c r="D4" s="32" t="s">
        <v>26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2.75" customHeight="1">
      <c r="A5" s="7" t="s">
        <v>4</v>
      </c>
      <c r="B5" s="8"/>
      <c r="C5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4" ht="12.75" customHeight="1">
      <c r="A6" s="10" t="s">
        <v>5</v>
      </c>
      <c r="B6" s="11"/>
      <c r="C6"/>
      <c r="D6" s="9" t="s">
        <v>6</v>
      </c>
    </row>
    <row r="7" spans="1:4" ht="12.75" customHeight="1">
      <c r="A7" s="7" t="s">
        <v>7</v>
      </c>
      <c r="B7" s="10"/>
      <c r="C7"/>
      <c r="D7" s="51" t="s">
        <v>8</v>
      </c>
    </row>
    <row r="8" spans="1:16" ht="12.75" customHeight="1">
      <c r="A8" s="7" t="s">
        <v>9</v>
      </c>
      <c r="B8" s="8"/>
      <c r="C8"/>
      <c r="D8" s="7" t="s">
        <v>10</v>
      </c>
      <c r="E8" s="10"/>
      <c r="F8" s="10"/>
      <c r="G8" s="10"/>
      <c r="H8" s="10"/>
      <c r="I8" s="61"/>
      <c r="J8" s="61"/>
      <c r="K8" s="62"/>
      <c r="L8" s="61"/>
      <c r="M8" s="61"/>
      <c r="N8" s="63"/>
      <c r="O8" s="63"/>
      <c r="P8" s="61"/>
    </row>
    <row r="9" spans="9:16" ht="12">
      <c r="I9" s="7"/>
      <c r="J9" s="7"/>
      <c r="K9" s="7"/>
      <c r="L9" s="7"/>
      <c r="M9" s="7"/>
      <c r="N9" s="7"/>
      <c r="O9" s="7"/>
      <c r="P9" s="7"/>
    </row>
    <row r="10" spans="1:8" ht="12.75" customHeight="1">
      <c r="A10" s="64"/>
      <c r="B10" s="64"/>
      <c r="C10" s="64"/>
      <c r="D10" s="64"/>
      <c r="E10" s="64"/>
      <c r="F10" s="64"/>
      <c r="G10" s="64"/>
      <c r="H10" s="64"/>
    </row>
    <row r="11" spans="1:16" ht="18" customHeight="1">
      <c r="A11" s="39" t="s">
        <v>56</v>
      </c>
      <c r="B11" s="65" t="s">
        <v>57</v>
      </c>
      <c r="C11" s="66" t="s">
        <v>58</v>
      </c>
      <c r="D11" s="65" t="s">
        <v>59</v>
      </c>
      <c r="E11" s="65" t="s">
        <v>60</v>
      </c>
      <c r="F11" s="66" t="s">
        <v>61</v>
      </c>
      <c r="G11" s="66"/>
      <c r="H11" s="66"/>
      <c r="I11" s="66"/>
      <c r="J11" s="66"/>
      <c r="K11" s="66"/>
      <c r="L11" s="66" t="s">
        <v>62</v>
      </c>
      <c r="M11" s="66" t="s">
        <v>62</v>
      </c>
      <c r="N11" s="66"/>
      <c r="O11" s="66"/>
      <c r="P11" s="66"/>
    </row>
    <row r="12" spans="1:16" ht="56.25" customHeight="1">
      <c r="A12" s="39"/>
      <c r="B12" s="65"/>
      <c r="C12" s="66"/>
      <c r="D12" s="65"/>
      <c r="E12" s="65"/>
      <c r="F12" s="65" t="s">
        <v>63</v>
      </c>
      <c r="G12" s="65" t="s">
        <v>64</v>
      </c>
      <c r="H12" s="65" t="s">
        <v>65</v>
      </c>
      <c r="I12" s="65" t="s">
        <v>66</v>
      </c>
      <c r="J12" s="65" t="s">
        <v>67</v>
      </c>
      <c r="K12" s="65" t="s">
        <v>68</v>
      </c>
      <c r="L12" s="65" t="s">
        <v>49</v>
      </c>
      <c r="M12" s="65" t="s">
        <v>69</v>
      </c>
      <c r="N12" s="65" t="s">
        <v>70</v>
      </c>
      <c r="O12" s="65" t="s">
        <v>67</v>
      </c>
      <c r="P12" s="65" t="s">
        <v>71</v>
      </c>
    </row>
    <row r="13" spans="1:16" ht="15" customHeight="1">
      <c r="A13" s="67">
        <v>1</v>
      </c>
      <c r="B13" s="67">
        <v>2</v>
      </c>
      <c r="C13" s="67">
        <v>3</v>
      </c>
      <c r="D13" s="67">
        <v>4</v>
      </c>
      <c r="E13" s="67">
        <v>5</v>
      </c>
      <c r="F13" s="67">
        <v>6</v>
      </c>
      <c r="G13" s="67">
        <v>7</v>
      </c>
      <c r="H13" s="67">
        <v>8</v>
      </c>
      <c r="I13" s="67">
        <v>9</v>
      </c>
      <c r="J13" s="67">
        <v>10</v>
      </c>
      <c r="K13" s="67">
        <v>11</v>
      </c>
      <c r="L13" s="67">
        <v>12</v>
      </c>
      <c r="M13" s="67">
        <v>13</v>
      </c>
      <c r="N13" s="67">
        <v>14</v>
      </c>
      <c r="O13" s="67">
        <v>15</v>
      </c>
      <c r="P13" s="67">
        <v>16</v>
      </c>
    </row>
    <row r="14" spans="1:16" ht="15.75" customHeight="1">
      <c r="A14" s="68"/>
      <c r="B14" s="69"/>
      <c r="C14" s="70" t="s">
        <v>121</v>
      </c>
      <c r="D14" s="69"/>
      <c r="E14" s="69"/>
      <c r="F14" s="71"/>
      <c r="G14" s="72"/>
      <c r="H14" s="71"/>
      <c r="I14" s="71"/>
      <c r="J14" s="72"/>
      <c r="K14" s="71"/>
      <c r="L14" s="71"/>
      <c r="M14" s="71"/>
      <c r="N14" s="71"/>
      <c r="O14" s="71"/>
      <c r="P14" s="71"/>
    </row>
    <row r="15" spans="1:16" s="31" customFormat="1" ht="18" customHeight="1">
      <c r="A15" s="73" t="s">
        <v>122</v>
      </c>
      <c r="B15" s="73"/>
      <c r="C15" s="79" t="s">
        <v>123</v>
      </c>
      <c r="D15" s="87" t="s">
        <v>108</v>
      </c>
      <c r="E15" s="88">
        <v>1</v>
      </c>
      <c r="F15" s="87"/>
      <c r="G15" s="77"/>
      <c r="H15" s="78"/>
      <c r="I15" s="78"/>
      <c r="J15" s="78"/>
      <c r="K15" s="78"/>
      <c r="L15" s="78"/>
      <c r="M15" s="78"/>
      <c r="N15" s="78"/>
      <c r="O15" s="78"/>
      <c r="P15" s="78"/>
    </row>
    <row r="16" spans="1:16" s="31" customFormat="1" ht="26.25" customHeight="1">
      <c r="A16" s="73" t="s">
        <v>124</v>
      </c>
      <c r="B16" s="73"/>
      <c r="C16" s="89" t="s">
        <v>125</v>
      </c>
      <c r="D16" s="37" t="s">
        <v>108</v>
      </c>
      <c r="E16" s="88">
        <v>1</v>
      </c>
      <c r="F16" s="87"/>
      <c r="G16" s="77"/>
      <c r="H16" s="78"/>
      <c r="I16" s="78"/>
      <c r="J16" s="78"/>
      <c r="K16" s="78"/>
      <c r="L16" s="78"/>
      <c r="M16" s="78"/>
      <c r="N16" s="78"/>
      <c r="O16" s="78"/>
      <c r="P16" s="78"/>
    </row>
    <row r="17" spans="1:16" s="31" customFormat="1" ht="54.75" customHeight="1">
      <c r="A17" s="73" t="s">
        <v>126</v>
      </c>
      <c r="B17" s="90"/>
      <c r="C17" s="79" t="s">
        <v>127</v>
      </c>
      <c r="D17" s="91" t="s">
        <v>128</v>
      </c>
      <c r="E17" s="92">
        <v>1</v>
      </c>
      <c r="F17" s="93"/>
      <c r="G17" s="93"/>
      <c r="H17" s="80"/>
      <c r="I17" s="80"/>
      <c r="J17" s="80"/>
      <c r="K17" s="80"/>
      <c r="L17" s="80"/>
      <c r="M17" s="80"/>
      <c r="N17" s="80"/>
      <c r="O17" s="80"/>
      <c r="P17" s="80"/>
    </row>
    <row r="18" spans="1:16" s="31" customFormat="1" ht="15" customHeight="1">
      <c r="A18" s="94"/>
      <c r="B18" s="95"/>
      <c r="C18" s="96"/>
      <c r="D18" s="36"/>
      <c r="E18" s="97"/>
      <c r="F18" s="98"/>
      <c r="G18" s="98"/>
      <c r="H18" s="99"/>
      <c r="I18" s="99"/>
      <c r="J18" s="99"/>
      <c r="K18" s="99"/>
      <c r="L18" s="99"/>
      <c r="M18" s="99"/>
      <c r="N18" s="99"/>
      <c r="O18" s="99"/>
      <c r="P18" s="99"/>
    </row>
  </sheetData>
  <mergeCells count="10">
    <mergeCell ref="N8:O8"/>
    <mergeCell ref="I9:P9"/>
    <mergeCell ref="A10:H10"/>
    <mergeCell ref="A11:A12"/>
    <mergeCell ref="B11:B12"/>
    <mergeCell ref="C11:C12"/>
    <mergeCell ref="D11:D12"/>
    <mergeCell ref="E11:E12"/>
    <mergeCell ref="F11:K11"/>
    <mergeCell ref="L11:P11"/>
  </mergeCells>
  <printOptions horizontalCentered="1"/>
  <pageMargins left="0.39375" right="0.39375" top="0.9840277777777777" bottom="0.5902777777777778" header="0.5118055555555555" footer="0.19652777777777777"/>
  <pageSetup horizontalDpi="300" verticalDpi="300" orientation="landscape" paperSize="9" scale="85"/>
  <headerFooter alignWithMargins="0">
    <oddFooter>&amp;CPage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92"/>
  <sheetViews>
    <sheetView zoomScaleSheetLayoutView="140" workbookViewId="0" topLeftCell="A1">
      <selection activeCell="I9" sqref="I9"/>
    </sheetView>
  </sheetViews>
  <sheetFormatPr defaultColWidth="9.140625" defaultRowHeight="12.75"/>
  <cols>
    <col min="1" max="1" width="7.140625" style="9" customWidth="1"/>
    <col min="2" max="2" width="5.00390625" style="9" customWidth="1"/>
    <col min="3" max="3" width="33.57421875" style="9" customWidth="1"/>
    <col min="4" max="4" width="7.140625" style="9" customWidth="1"/>
    <col min="5" max="5" width="8.7109375" style="9" customWidth="1"/>
    <col min="6" max="6" width="6.7109375" style="9" customWidth="1"/>
    <col min="7" max="7" width="8.00390625" style="9" customWidth="1"/>
    <col min="8" max="8" width="7.8515625" style="9" customWidth="1"/>
    <col min="9" max="9" width="8.28125" style="9" customWidth="1"/>
    <col min="10" max="10" width="8.57421875" style="9" customWidth="1"/>
    <col min="11" max="16" width="10.00390625" style="9" customWidth="1"/>
    <col min="17" max="16384" width="9.140625" style="9" customWidth="1"/>
  </cols>
  <sheetData>
    <row r="1" spans="1:16" ht="14.25">
      <c r="A1" s="58"/>
      <c r="B1" s="58"/>
      <c r="C1" s="58"/>
      <c r="D1" s="58"/>
      <c r="E1" s="58"/>
      <c r="F1" s="58"/>
      <c r="G1" s="58" t="s">
        <v>129</v>
      </c>
      <c r="H1" s="58"/>
      <c r="I1" s="58"/>
      <c r="J1" s="58"/>
      <c r="K1" s="58"/>
      <c r="L1" s="58"/>
      <c r="M1" s="58"/>
      <c r="N1" s="58"/>
      <c r="O1" s="58"/>
      <c r="P1" s="58"/>
    </row>
    <row r="2" spans="1:16" ht="14.25">
      <c r="A2" s="60"/>
      <c r="B2" s="60"/>
      <c r="C2" s="60"/>
      <c r="D2" s="60"/>
      <c r="E2" s="60"/>
      <c r="F2" s="60"/>
      <c r="G2" s="60" t="s">
        <v>130</v>
      </c>
      <c r="H2" s="60"/>
      <c r="I2" s="60"/>
      <c r="J2" s="60"/>
      <c r="K2" s="60"/>
      <c r="L2" s="60"/>
      <c r="M2" s="60"/>
      <c r="N2" s="60"/>
      <c r="O2" s="60"/>
      <c r="P2" s="60"/>
    </row>
    <row r="3" spans="1:16" ht="7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ht="12.75" customHeight="1">
      <c r="A4" s="7" t="s">
        <v>23</v>
      </c>
      <c r="B4" s="8"/>
      <c r="C4"/>
      <c r="D4" s="7" t="s">
        <v>24</v>
      </c>
      <c r="E4" s="60"/>
      <c r="F4" s="7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2.75" customHeight="1">
      <c r="A5" s="7" t="s">
        <v>25</v>
      </c>
      <c r="B5" s="10"/>
      <c r="C5"/>
      <c r="D5" s="32" t="s">
        <v>26</v>
      </c>
      <c r="E5" s="8"/>
      <c r="F5" s="7"/>
      <c r="G5" s="10"/>
      <c r="H5" s="8"/>
      <c r="I5" s="8"/>
      <c r="J5" s="8"/>
      <c r="K5" s="8"/>
      <c r="L5" s="8"/>
      <c r="M5" s="8"/>
      <c r="N5" s="8"/>
      <c r="O5" s="8"/>
      <c r="P5" s="8"/>
    </row>
    <row r="6" spans="1:7" ht="12.75" customHeight="1">
      <c r="A6" s="7" t="s">
        <v>4</v>
      </c>
      <c r="B6" s="8"/>
      <c r="C6"/>
      <c r="E6" s="8"/>
      <c r="F6" s="7"/>
      <c r="G6" s="8"/>
    </row>
    <row r="7" spans="1:16" ht="12.75" customHeight="1">
      <c r="A7" s="10" t="s">
        <v>5</v>
      </c>
      <c r="B7" s="11"/>
      <c r="C7"/>
      <c r="D7" s="9" t="s">
        <v>6</v>
      </c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2.75" customHeight="1">
      <c r="A8" s="7" t="s">
        <v>7</v>
      </c>
      <c r="B8" s="10"/>
      <c r="C8"/>
      <c r="D8" s="51" t="s">
        <v>8</v>
      </c>
      <c r="F8" s="7"/>
      <c r="G8" s="10"/>
      <c r="H8" s="10"/>
      <c r="I8" s="61"/>
      <c r="J8" s="61"/>
      <c r="K8" s="62"/>
      <c r="L8" s="61"/>
      <c r="M8" s="61"/>
      <c r="N8" s="63"/>
      <c r="O8" s="63"/>
      <c r="P8" s="61"/>
    </row>
    <row r="9" spans="1:16" ht="12">
      <c r="A9" s="7" t="s">
        <v>9</v>
      </c>
      <c r="B9" s="8"/>
      <c r="C9"/>
      <c r="D9" s="7" t="s">
        <v>10</v>
      </c>
      <c r="E9" s="10"/>
      <c r="F9" s="7"/>
      <c r="G9" s="8"/>
      <c r="I9" s="7"/>
      <c r="J9" s="7"/>
      <c r="K9" s="7"/>
      <c r="L9" s="7"/>
      <c r="M9" s="7"/>
      <c r="N9" s="7"/>
      <c r="O9" s="7"/>
      <c r="P9" s="7"/>
    </row>
    <row r="10" spans="1:8" ht="12.75" customHeight="1">
      <c r="A10" s="64"/>
      <c r="B10" s="64"/>
      <c r="C10" s="64"/>
      <c r="D10" s="64"/>
      <c r="E10" s="64"/>
      <c r="F10" s="64"/>
      <c r="G10" s="64"/>
      <c r="H10" s="64"/>
    </row>
    <row r="11" spans="1:16" ht="31.5" customHeight="1">
      <c r="A11" s="39" t="s">
        <v>56</v>
      </c>
      <c r="B11" s="65" t="s">
        <v>57</v>
      </c>
      <c r="C11" s="66" t="s">
        <v>58</v>
      </c>
      <c r="D11" s="65" t="s">
        <v>59</v>
      </c>
      <c r="E11" s="65" t="s">
        <v>60</v>
      </c>
      <c r="F11" s="66" t="s">
        <v>61</v>
      </c>
      <c r="G11" s="66"/>
      <c r="H11" s="66"/>
      <c r="I11" s="66"/>
      <c r="J11" s="66"/>
      <c r="K11" s="66"/>
      <c r="L11" s="66" t="s">
        <v>62</v>
      </c>
      <c r="M11" s="66" t="s">
        <v>62</v>
      </c>
      <c r="N11" s="66"/>
      <c r="O11" s="66"/>
      <c r="P11" s="66"/>
    </row>
    <row r="12" spans="1:16" ht="66" customHeight="1">
      <c r="A12" s="39"/>
      <c r="B12" s="65"/>
      <c r="C12" s="66"/>
      <c r="D12" s="65"/>
      <c r="E12" s="65"/>
      <c r="F12" s="65" t="s">
        <v>63</v>
      </c>
      <c r="G12" s="65" t="s">
        <v>64</v>
      </c>
      <c r="H12" s="65" t="s">
        <v>65</v>
      </c>
      <c r="I12" s="65" t="s">
        <v>66</v>
      </c>
      <c r="J12" s="65" t="s">
        <v>67</v>
      </c>
      <c r="K12" s="65" t="s">
        <v>68</v>
      </c>
      <c r="L12" s="65" t="s">
        <v>49</v>
      </c>
      <c r="M12" s="65" t="s">
        <v>69</v>
      </c>
      <c r="N12" s="65" t="s">
        <v>70</v>
      </c>
      <c r="O12" s="65" t="s">
        <v>67</v>
      </c>
      <c r="P12" s="65" t="s">
        <v>71</v>
      </c>
    </row>
    <row r="13" spans="1:16" ht="15" customHeight="1">
      <c r="A13" s="67">
        <v>1</v>
      </c>
      <c r="B13" s="67">
        <v>2</v>
      </c>
      <c r="C13" s="67">
        <v>3</v>
      </c>
      <c r="D13" s="67">
        <v>4</v>
      </c>
      <c r="E13" s="67">
        <v>5</v>
      </c>
      <c r="F13" s="67">
        <v>6</v>
      </c>
      <c r="G13" s="67">
        <v>7</v>
      </c>
      <c r="H13" s="67">
        <v>8</v>
      </c>
      <c r="I13" s="67">
        <v>9</v>
      </c>
      <c r="J13" s="67">
        <v>10</v>
      </c>
      <c r="K13" s="67">
        <v>11</v>
      </c>
      <c r="L13" s="67">
        <v>12</v>
      </c>
      <c r="M13" s="67">
        <v>13</v>
      </c>
      <c r="N13" s="67">
        <v>14</v>
      </c>
      <c r="O13" s="67">
        <v>15</v>
      </c>
      <c r="P13" s="67">
        <v>16</v>
      </c>
    </row>
    <row r="14" spans="1:16" ht="15" customHeight="1">
      <c r="A14" s="100"/>
      <c r="B14" s="101"/>
      <c r="C14" s="102"/>
      <c r="D14" s="101"/>
      <c r="E14" s="101"/>
      <c r="F14" s="101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1:16" s="61" customFormat="1" ht="29.25" customHeight="1">
      <c r="A15" s="103" t="s">
        <v>131</v>
      </c>
      <c r="B15" s="87"/>
      <c r="C15" s="79" t="s">
        <v>132</v>
      </c>
      <c r="D15" s="87" t="s">
        <v>74</v>
      </c>
      <c r="E15" s="77">
        <v>14.42</v>
      </c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1:16" s="109" customFormat="1" ht="15" customHeight="1">
      <c r="A16" s="104" t="s">
        <v>133</v>
      </c>
      <c r="B16" s="105"/>
      <c r="C16" s="106" t="s">
        <v>134</v>
      </c>
      <c r="D16" s="105" t="s">
        <v>135</v>
      </c>
      <c r="E16" s="107">
        <f>SUM(E15*0.1)*1.5</f>
        <v>2.1630000000000003</v>
      </c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</row>
    <row r="17" spans="1:16" s="61" customFormat="1" ht="26.25" customHeight="1">
      <c r="A17" s="103" t="s">
        <v>136</v>
      </c>
      <c r="B17" s="87"/>
      <c r="C17" s="110" t="s">
        <v>137</v>
      </c>
      <c r="D17" s="71" t="s">
        <v>74</v>
      </c>
      <c r="E17" s="72">
        <v>12.24</v>
      </c>
      <c r="F17" s="111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1:16" s="109" customFormat="1" ht="15" customHeight="1">
      <c r="A18" s="104" t="s">
        <v>138</v>
      </c>
      <c r="B18" s="105"/>
      <c r="C18" s="112" t="s">
        <v>139</v>
      </c>
      <c r="D18" s="113" t="s">
        <v>135</v>
      </c>
      <c r="E18" s="114">
        <f>ROUND(E17*0.1*1.05,2)</f>
        <v>1.29</v>
      </c>
      <c r="F18" s="115"/>
      <c r="G18" s="108"/>
      <c r="H18" s="108"/>
      <c r="I18" s="108"/>
      <c r="J18" s="108"/>
      <c r="K18" s="108"/>
      <c r="L18" s="108"/>
      <c r="M18" s="108"/>
      <c r="N18" s="108"/>
      <c r="O18" s="108"/>
      <c r="P18" s="108"/>
    </row>
    <row r="19" spans="1:16" s="109" customFormat="1" ht="15" customHeight="1">
      <c r="A19" s="104" t="s">
        <v>140</v>
      </c>
      <c r="B19" s="105"/>
      <c r="C19" s="112" t="s">
        <v>141</v>
      </c>
      <c r="D19" s="113" t="s">
        <v>135</v>
      </c>
      <c r="E19" s="114">
        <v>0.18</v>
      </c>
      <c r="F19" s="115"/>
      <c r="G19" s="108"/>
      <c r="H19" s="108"/>
      <c r="I19" s="108"/>
      <c r="J19" s="108"/>
      <c r="K19" s="108"/>
      <c r="L19" s="108"/>
      <c r="M19" s="108"/>
      <c r="N19" s="108"/>
      <c r="O19" s="108"/>
      <c r="P19" s="108"/>
    </row>
    <row r="20" spans="1:16" s="61" customFormat="1" ht="29.25" customHeight="1">
      <c r="A20" s="103" t="s">
        <v>142</v>
      </c>
      <c r="B20" s="87"/>
      <c r="C20" s="79" t="s">
        <v>143</v>
      </c>
      <c r="D20" s="71" t="s">
        <v>92</v>
      </c>
      <c r="E20" s="72">
        <v>7.75</v>
      </c>
      <c r="F20" s="111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1:16" s="109" customFormat="1" ht="15" customHeight="1">
      <c r="A21" s="104" t="s">
        <v>144</v>
      </c>
      <c r="B21" s="105"/>
      <c r="C21" s="116" t="s">
        <v>145</v>
      </c>
      <c r="D21" s="113" t="s">
        <v>135</v>
      </c>
      <c r="E21" s="114">
        <v>7.75</v>
      </c>
      <c r="F21" s="115"/>
      <c r="G21" s="108"/>
      <c r="H21" s="117"/>
      <c r="I21" s="117"/>
      <c r="J21" s="108"/>
      <c r="K21" s="108"/>
      <c r="L21" s="108"/>
      <c r="M21" s="108"/>
      <c r="N21" s="108"/>
      <c r="O21" s="108"/>
      <c r="P21" s="108"/>
    </row>
    <row r="22" spans="1:16" s="109" customFormat="1" ht="15" customHeight="1">
      <c r="A22" s="104" t="s">
        <v>146</v>
      </c>
      <c r="B22" s="105"/>
      <c r="C22" s="112" t="s">
        <v>147</v>
      </c>
      <c r="D22" s="113" t="s">
        <v>135</v>
      </c>
      <c r="E22" s="114">
        <f>SUM(E20)*0.134</f>
        <v>1.0385</v>
      </c>
      <c r="F22" s="115"/>
      <c r="G22" s="108"/>
      <c r="H22" s="108"/>
      <c r="I22" s="108"/>
      <c r="J22" s="108"/>
      <c r="K22" s="108"/>
      <c r="L22" s="108"/>
      <c r="M22" s="108"/>
      <c r="N22" s="108"/>
      <c r="O22" s="108"/>
      <c r="P22" s="108"/>
    </row>
    <row r="23" spans="1:16" s="61" customFormat="1" ht="30.75" customHeight="1">
      <c r="A23" s="103" t="s">
        <v>148</v>
      </c>
      <c r="B23" s="71"/>
      <c r="C23" s="110" t="s">
        <v>149</v>
      </c>
      <c r="D23" s="71" t="s">
        <v>92</v>
      </c>
      <c r="E23" s="72">
        <f>2.72+2.91+2.24+0.68+1.4</f>
        <v>9.950000000000001</v>
      </c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1:16" s="109" customFormat="1" ht="15.75" customHeight="1">
      <c r="A24" s="104" t="s">
        <v>150</v>
      </c>
      <c r="B24" s="113"/>
      <c r="C24" s="112" t="s">
        <v>141</v>
      </c>
      <c r="D24" s="113" t="s">
        <v>151</v>
      </c>
      <c r="E24" s="114">
        <f>SUM(E23*12)</f>
        <v>119.4</v>
      </c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</row>
    <row r="25" spans="1:16" s="109" customFormat="1" ht="15" customHeight="1">
      <c r="A25" s="104" t="s">
        <v>152</v>
      </c>
      <c r="B25" s="113"/>
      <c r="C25" s="112" t="s">
        <v>153</v>
      </c>
      <c r="D25" s="113" t="s">
        <v>154</v>
      </c>
      <c r="E25" s="118">
        <v>580</v>
      </c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</row>
    <row r="26" spans="1:16" s="109" customFormat="1" ht="15" customHeight="1">
      <c r="A26" s="104" t="s">
        <v>155</v>
      </c>
      <c r="B26" s="113"/>
      <c r="C26" s="112" t="s">
        <v>156</v>
      </c>
      <c r="D26" s="113" t="s">
        <v>118</v>
      </c>
      <c r="E26" s="114">
        <v>1</v>
      </c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</row>
    <row r="27" spans="1:16" s="109" customFormat="1" ht="15" customHeight="1">
      <c r="A27" s="104" t="s">
        <v>157</v>
      </c>
      <c r="B27" s="113"/>
      <c r="C27" s="112" t="s">
        <v>158</v>
      </c>
      <c r="D27" s="113" t="s">
        <v>135</v>
      </c>
      <c r="E27" s="114">
        <v>8.98</v>
      </c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</row>
    <row r="28" spans="1:16" s="109" customFormat="1" ht="15" customHeight="1">
      <c r="A28" s="104" t="s">
        <v>159</v>
      </c>
      <c r="B28" s="113"/>
      <c r="C28" s="112" t="s">
        <v>160</v>
      </c>
      <c r="D28" s="113" t="s">
        <v>135</v>
      </c>
      <c r="E28" s="114">
        <v>1.47</v>
      </c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</row>
    <row r="29" spans="1:16" s="109" customFormat="1" ht="15" customHeight="1">
      <c r="A29" s="104" t="s">
        <v>161</v>
      </c>
      <c r="B29" s="113"/>
      <c r="C29" s="112" t="s">
        <v>162</v>
      </c>
      <c r="D29" s="113" t="s">
        <v>118</v>
      </c>
      <c r="E29" s="114">
        <v>1</v>
      </c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</row>
    <row r="30" spans="1:16" s="61" customFormat="1" ht="26.25" customHeight="1">
      <c r="A30" s="103" t="s">
        <v>163</v>
      </c>
      <c r="B30" s="71"/>
      <c r="C30" s="79" t="s">
        <v>164</v>
      </c>
      <c r="D30" s="87" t="s">
        <v>74</v>
      </c>
      <c r="E30" s="77">
        <v>6</v>
      </c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1:16" s="109" customFormat="1" ht="15" customHeight="1">
      <c r="A31" s="104" t="s">
        <v>165</v>
      </c>
      <c r="B31" s="113"/>
      <c r="C31" s="116" t="s">
        <v>166</v>
      </c>
      <c r="D31" s="105" t="s">
        <v>167</v>
      </c>
      <c r="E31" s="107">
        <f>SUM(E30*2.2)</f>
        <v>13.200000000000001</v>
      </c>
      <c r="F31" s="119"/>
      <c r="G31" s="119"/>
      <c r="H31" s="119"/>
      <c r="I31" s="108"/>
      <c r="J31" s="108"/>
      <c r="K31" s="108"/>
      <c r="L31" s="108"/>
      <c r="M31" s="108"/>
      <c r="N31" s="108"/>
      <c r="O31" s="108"/>
      <c r="P31" s="108"/>
    </row>
    <row r="32" spans="1:16" s="109" customFormat="1" ht="15" customHeight="1">
      <c r="A32" s="104" t="s">
        <v>168</v>
      </c>
      <c r="B32" s="113"/>
      <c r="C32" s="116" t="s">
        <v>169</v>
      </c>
      <c r="D32" s="105" t="s">
        <v>170</v>
      </c>
      <c r="E32" s="107">
        <f>SUM(E30*1.8)</f>
        <v>10.8</v>
      </c>
      <c r="F32" s="119"/>
      <c r="G32" s="119"/>
      <c r="H32" s="119"/>
      <c r="I32" s="108"/>
      <c r="J32" s="108"/>
      <c r="K32" s="108"/>
      <c r="L32" s="108"/>
      <c r="M32" s="108"/>
      <c r="N32" s="108"/>
      <c r="O32" s="108"/>
      <c r="P32" s="108"/>
    </row>
    <row r="33" spans="1:16" s="61" customFormat="1" ht="18.75" customHeight="1">
      <c r="A33" s="103" t="s">
        <v>171</v>
      </c>
      <c r="B33" s="71"/>
      <c r="C33" s="110" t="s">
        <v>172</v>
      </c>
      <c r="D33" s="87" t="s">
        <v>74</v>
      </c>
      <c r="E33" s="77">
        <v>4</v>
      </c>
      <c r="F33" s="78"/>
      <c r="G33" s="78"/>
      <c r="H33" s="78"/>
      <c r="I33" s="78"/>
      <c r="J33" s="119"/>
      <c r="K33" s="78"/>
      <c r="L33" s="78"/>
      <c r="M33" s="78"/>
      <c r="N33" s="78"/>
      <c r="O33" s="78"/>
      <c r="P33" s="78"/>
    </row>
    <row r="34" spans="1:16" s="109" customFormat="1" ht="15" customHeight="1">
      <c r="A34" s="104" t="s">
        <v>173</v>
      </c>
      <c r="B34" s="113"/>
      <c r="C34" s="112" t="s">
        <v>174</v>
      </c>
      <c r="D34" s="113" t="s">
        <v>151</v>
      </c>
      <c r="E34" s="114">
        <v>4</v>
      </c>
      <c r="F34" s="119"/>
      <c r="G34" s="119"/>
      <c r="H34" s="119"/>
      <c r="I34" s="108"/>
      <c r="J34" s="108"/>
      <c r="K34" s="108"/>
      <c r="L34" s="108"/>
      <c r="M34" s="108"/>
      <c r="N34" s="108"/>
      <c r="O34" s="108"/>
      <c r="P34" s="108"/>
    </row>
    <row r="35" spans="1:16" s="109" customFormat="1" ht="15" customHeight="1">
      <c r="A35" s="104" t="s">
        <v>175</v>
      </c>
      <c r="B35" s="113"/>
      <c r="C35" s="112" t="s">
        <v>176</v>
      </c>
      <c r="D35" s="113" t="s">
        <v>154</v>
      </c>
      <c r="E35" s="114">
        <f>SUM(E33*3.5)</f>
        <v>14</v>
      </c>
      <c r="F35" s="119"/>
      <c r="G35" s="119"/>
      <c r="H35" s="119"/>
      <c r="I35" s="108"/>
      <c r="J35" s="108"/>
      <c r="K35" s="108"/>
      <c r="L35" s="108"/>
      <c r="M35" s="108"/>
      <c r="N35" s="108"/>
      <c r="O35" s="108"/>
      <c r="P35" s="108"/>
    </row>
    <row r="36" spans="1:16" s="109" customFormat="1" ht="16.5" customHeight="1">
      <c r="A36" s="120"/>
      <c r="B36" s="113"/>
      <c r="C36" s="121" t="s">
        <v>177</v>
      </c>
      <c r="D36" s="113"/>
      <c r="E36" s="114"/>
      <c r="F36" s="78"/>
      <c r="G36" s="78"/>
      <c r="H36" s="78"/>
      <c r="I36" s="108"/>
      <c r="J36" s="108"/>
      <c r="K36" s="108"/>
      <c r="L36" s="108"/>
      <c r="M36" s="108"/>
      <c r="N36" s="108"/>
      <c r="O36" s="108"/>
      <c r="P36" s="108"/>
    </row>
    <row r="37" spans="1:16" s="123" customFormat="1" ht="16.5" customHeight="1">
      <c r="A37" s="103" t="s">
        <v>178</v>
      </c>
      <c r="B37" s="122"/>
      <c r="C37" s="79" t="s">
        <v>179</v>
      </c>
      <c r="D37" s="87" t="s">
        <v>74</v>
      </c>
      <c r="E37" s="77">
        <v>35.4</v>
      </c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1:16" s="109" customFormat="1" ht="15" customHeight="1">
      <c r="A38" s="104" t="s">
        <v>180</v>
      </c>
      <c r="B38" s="113"/>
      <c r="C38" s="106" t="s">
        <v>134</v>
      </c>
      <c r="D38" s="105" t="s">
        <v>135</v>
      </c>
      <c r="E38" s="107">
        <f>SUM(E37*0.1)*1.5</f>
        <v>5.3100000000000005</v>
      </c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</row>
    <row r="39" spans="1:16" s="61" customFormat="1" ht="26.25" customHeight="1">
      <c r="A39" s="103" t="s">
        <v>181</v>
      </c>
      <c r="B39" s="87"/>
      <c r="C39" s="110" t="s">
        <v>182</v>
      </c>
      <c r="D39" s="71" t="s">
        <v>74</v>
      </c>
      <c r="E39" s="72">
        <v>35.4</v>
      </c>
      <c r="F39" s="111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1:16" s="109" customFormat="1" ht="15" customHeight="1">
      <c r="A40" s="104" t="s">
        <v>183</v>
      </c>
      <c r="B40" s="105"/>
      <c r="C40" s="112" t="s">
        <v>139</v>
      </c>
      <c r="D40" s="113" t="s">
        <v>135</v>
      </c>
      <c r="E40" s="114">
        <f>SUM(E39*0.05)*1.05</f>
        <v>1.8585</v>
      </c>
      <c r="F40" s="115"/>
      <c r="G40" s="108"/>
      <c r="H40" s="108"/>
      <c r="I40" s="108"/>
      <c r="J40" s="108"/>
      <c r="K40" s="108"/>
      <c r="L40" s="108"/>
      <c r="M40" s="108"/>
      <c r="N40" s="108"/>
      <c r="O40" s="108"/>
      <c r="P40" s="108"/>
    </row>
    <row r="41" spans="1:16" s="61" customFormat="1" ht="17.25" customHeight="1">
      <c r="A41" s="103" t="s">
        <v>184</v>
      </c>
      <c r="B41" s="71"/>
      <c r="C41" s="79" t="s">
        <v>185</v>
      </c>
      <c r="D41" s="87" t="s">
        <v>74</v>
      </c>
      <c r="E41" s="77">
        <v>35.4</v>
      </c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1:16" s="109" customFormat="1" ht="15" customHeight="1">
      <c r="A42" s="104" t="s">
        <v>186</v>
      </c>
      <c r="B42" s="113"/>
      <c r="C42" s="116" t="s">
        <v>166</v>
      </c>
      <c r="D42" s="105" t="s">
        <v>167</v>
      </c>
      <c r="E42" s="107">
        <f>SUM(E41*2.2)</f>
        <v>77.88000000000001</v>
      </c>
      <c r="F42" s="119"/>
      <c r="G42" s="119"/>
      <c r="H42" s="119"/>
      <c r="I42" s="108"/>
      <c r="J42" s="108"/>
      <c r="K42" s="108"/>
      <c r="L42" s="108"/>
      <c r="M42" s="108"/>
      <c r="N42" s="108"/>
      <c r="O42" s="108"/>
      <c r="P42" s="108"/>
    </row>
    <row r="43" spans="1:16" s="109" customFormat="1" ht="15" customHeight="1">
      <c r="A43" s="104" t="s">
        <v>187</v>
      </c>
      <c r="B43" s="113"/>
      <c r="C43" s="116" t="s">
        <v>169</v>
      </c>
      <c r="D43" s="105" t="s">
        <v>170</v>
      </c>
      <c r="E43" s="107">
        <f>SUM(E41*1.8)</f>
        <v>63.72</v>
      </c>
      <c r="F43" s="119"/>
      <c r="G43" s="119"/>
      <c r="H43" s="119"/>
      <c r="I43" s="108"/>
      <c r="J43" s="108"/>
      <c r="K43" s="108"/>
      <c r="L43" s="108"/>
      <c r="M43" s="108"/>
      <c r="N43" s="108"/>
      <c r="O43" s="108"/>
      <c r="P43" s="108"/>
    </row>
    <row r="44" spans="1:16" s="123" customFormat="1" ht="29.25" customHeight="1">
      <c r="A44" s="103" t="s">
        <v>188</v>
      </c>
      <c r="B44" s="122"/>
      <c r="C44" s="110" t="s">
        <v>189</v>
      </c>
      <c r="D44" s="87" t="s">
        <v>74</v>
      </c>
      <c r="E44" s="77">
        <v>35.4</v>
      </c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1:16" s="109" customFormat="1" ht="17.25" customHeight="1">
      <c r="A45" s="104" t="s">
        <v>190</v>
      </c>
      <c r="B45" s="113"/>
      <c r="C45" s="112" t="s">
        <v>174</v>
      </c>
      <c r="D45" s="105" t="s">
        <v>151</v>
      </c>
      <c r="E45" s="114">
        <f>SUM(E44*1.05)</f>
        <v>37.17</v>
      </c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</row>
    <row r="46" spans="1:16" s="61" customFormat="1" ht="17.25" customHeight="1">
      <c r="A46" s="103" t="s">
        <v>191</v>
      </c>
      <c r="B46" s="71"/>
      <c r="C46" s="110" t="s">
        <v>192</v>
      </c>
      <c r="D46" s="71" t="s">
        <v>74</v>
      </c>
      <c r="E46" s="72">
        <v>35.4</v>
      </c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1:16" s="109" customFormat="1" ht="15" customHeight="1">
      <c r="A47" s="104" t="s">
        <v>193</v>
      </c>
      <c r="B47" s="113"/>
      <c r="C47" s="112" t="s">
        <v>194</v>
      </c>
      <c r="D47" s="113" t="s">
        <v>151</v>
      </c>
      <c r="E47" s="114">
        <f>SUM(E46*1.03)</f>
        <v>36.461999999999996</v>
      </c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</row>
    <row r="48" spans="1:16" s="109" customFormat="1" ht="15" customHeight="1">
      <c r="A48" s="104" t="s">
        <v>195</v>
      </c>
      <c r="B48" s="113"/>
      <c r="C48" s="112" t="s">
        <v>162</v>
      </c>
      <c r="D48" s="113" t="s">
        <v>118</v>
      </c>
      <c r="E48" s="114">
        <v>1</v>
      </c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</row>
    <row r="49" spans="1:16" s="123" customFormat="1" ht="18.75" customHeight="1">
      <c r="A49" s="103" t="s">
        <v>196</v>
      </c>
      <c r="B49" s="122"/>
      <c r="C49" s="110" t="s">
        <v>197</v>
      </c>
      <c r="D49" s="87" t="s">
        <v>74</v>
      </c>
      <c r="E49" s="77">
        <v>35.4</v>
      </c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1:16" s="109" customFormat="1" ht="15" customHeight="1">
      <c r="A50" s="104" t="s">
        <v>198</v>
      </c>
      <c r="B50" s="113"/>
      <c r="C50" s="124" t="s">
        <v>199</v>
      </c>
      <c r="D50" s="113" t="s">
        <v>135</v>
      </c>
      <c r="E50" s="114">
        <f>SUM(E49*0.08)*1.04</f>
        <v>2.94528</v>
      </c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</row>
    <row r="51" spans="1:16" s="109" customFormat="1" ht="17.25" customHeight="1">
      <c r="A51" s="120"/>
      <c r="B51" s="113"/>
      <c r="C51" s="125" t="s">
        <v>200</v>
      </c>
      <c r="D51" s="113"/>
      <c r="E51" s="114"/>
      <c r="F51" s="115"/>
      <c r="G51" s="108"/>
      <c r="H51" s="108"/>
      <c r="I51" s="108"/>
      <c r="J51" s="78"/>
      <c r="K51" s="108"/>
      <c r="L51" s="108"/>
      <c r="M51" s="108"/>
      <c r="N51" s="108"/>
      <c r="O51" s="108"/>
      <c r="P51" s="108"/>
    </row>
    <row r="52" spans="1:16" s="123" customFormat="1" ht="63" customHeight="1">
      <c r="A52" s="103" t="s">
        <v>201</v>
      </c>
      <c r="B52" s="122"/>
      <c r="C52" s="110" t="s">
        <v>202</v>
      </c>
      <c r="D52" s="71" t="s">
        <v>203</v>
      </c>
      <c r="E52" s="72">
        <v>6</v>
      </c>
      <c r="F52" s="111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1:16" s="109" customFormat="1" ht="26.25" customHeight="1">
      <c r="A53" s="104" t="s">
        <v>204</v>
      </c>
      <c r="B53" s="113"/>
      <c r="C53" s="112" t="s">
        <v>205</v>
      </c>
      <c r="D53" s="113" t="s">
        <v>203</v>
      </c>
      <c r="E53" s="114">
        <v>3</v>
      </c>
      <c r="F53" s="115"/>
      <c r="G53" s="108"/>
      <c r="H53" s="108"/>
      <c r="I53" s="108"/>
      <c r="J53" s="108"/>
      <c r="K53" s="108"/>
      <c r="L53" s="108"/>
      <c r="M53" s="108"/>
      <c r="N53" s="108"/>
      <c r="O53" s="108"/>
      <c r="P53" s="108"/>
    </row>
    <row r="54" spans="1:16" s="109" customFormat="1" ht="26.25" customHeight="1">
      <c r="A54" s="104" t="s">
        <v>206</v>
      </c>
      <c r="B54" s="113"/>
      <c r="C54" s="112" t="s">
        <v>207</v>
      </c>
      <c r="D54" s="113" t="s">
        <v>203</v>
      </c>
      <c r="E54" s="114">
        <v>1</v>
      </c>
      <c r="F54" s="115"/>
      <c r="G54" s="108"/>
      <c r="H54" s="108"/>
      <c r="I54" s="108"/>
      <c r="J54" s="108"/>
      <c r="K54" s="108"/>
      <c r="L54" s="108"/>
      <c r="M54" s="108"/>
      <c r="N54" s="108"/>
      <c r="O54" s="108"/>
      <c r="P54" s="108"/>
    </row>
    <row r="55" spans="1:16" s="109" customFormat="1" ht="26.25" customHeight="1">
      <c r="A55" s="104" t="s">
        <v>208</v>
      </c>
      <c r="B55" s="113"/>
      <c r="C55" s="112" t="s">
        <v>209</v>
      </c>
      <c r="D55" s="113" t="s">
        <v>203</v>
      </c>
      <c r="E55" s="114">
        <v>2</v>
      </c>
      <c r="F55" s="115"/>
      <c r="G55" s="108"/>
      <c r="H55" s="108"/>
      <c r="I55" s="108"/>
      <c r="J55" s="108"/>
      <c r="K55" s="108"/>
      <c r="L55" s="108"/>
      <c r="M55" s="108"/>
      <c r="N55" s="108"/>
      <c r="O55" s="108"/>
      <c r="P55" s="108"/>
    </row>
    <row r="56" spans="1:16" s="109" customFormat="1" ht="14.25" customHeight="1">
      <c r="A56" s="104" t="s">
        <v>210</v>
      </c>
      <c r="B56" s="113"/>
      <c r="C56" s="112" t="s">
        <v>211</v>
      </c>
      <c r="D56" s="113" t="s">
        <v>154</v>
      </c>
      <c r="E56" s="114">
        <v>22</v>
      </c>
      <c r="F56" s="115"/>
      <c r="G56" s="108"/>
      <c r="H56" s="108"/>
      <c r="I56" s="108"/>
      <c r="J56" s="108"/>
      <c r="K56" s="108"/>
      <c r="L56" s="108"/>
      <c r="M56" s="108"/>
      <c r="N56" s="108"/>
      <c r="O56" s="108"/>
      <c r="P56" s="108"/>
    </row>
    <row r="57" spans="1:16" s="109" customFormat="1" ht="24.75" customHeight="1">
      <c r="A57" s="104" t="s">
        <v>212</v>
      </c>
      <c r="B57" s="113"/>
      <c r="C57" s="112" t="s">
        <v>213</v>
      </c>
      <c r="D57" s="113" t="s">
        <v>135</v>
      </c>
      <c r="E57" s="114">
        <v>1.7</v>
      </c>
      <c r="F57" s="115"/>
      <c r="G57" s="108"/>
      <c r="H57" s="108"/>
      <c r="I57" s="108"/>
      <c r="J57" s="108"/>
      <c r="K57" s="108"/>
      <c r="L57" s="108"/>
      <c r="M57" s="108"/>
      <c r="N57" s="108"/>
      <c r="O57" s="108"/>
      <c r="P57" s="108"/>
    </row>
    <row r="58" spans="1:16" s="109" customFormat="1" ht="15.75" customHeight="1">
      <c r="A58" s="104" t="s">
        <v>214</v>
      </c>
      <c r="B58" s="113"/>
      <c r="C58" s="112" t="s">
        <v>215</v>
      </c>
      <c r="D58" s="113" t="s">
        <v>203</v>
      </c>
      <c r="E58" s="114">
        <v>1</v>
      </c>
      <c r="F58" s="115"/>
      <c r="G58" s="108"/>
      <c r="H58" s="108"/>
      <c r="I58" s="108"/>
      <c r="J58" s="108"/>
      <c r="K58" s="108"/>
      <c r="L58" s="108"/>
      <c r="M58" s="108"/>
      <c r="N58" s="108"/>
      <c r="O58" s="108"/>
      <c r="P58" s="108"/>
    </row>
    <row r="59" spans="1:16" s="109" customFormat="1" ht="15.75" customHeight="1">
      <c r="A59" s="104" t="s">
        <v>216</v>
      </c>
      <c r="B59" s="113"/>
      <c r="C59" s="106" t="s">
        <v>162</v>
      </c>
      <c r="D59" s="113" t="s">
        <v>118</v>
      </c>
      <c r="E59" s="114">
        <v>1</v>
      </c>
      <c r="F59" s="115"/>
      <c r="G59" s="108"/>
      <c r="H59" s="108"/>
      <c r="I59" s="108"/>
      <c r="J59" s="108"/>
      <c r="K59" s="108"/>
      <c r="L59" s="108"/>
      <c r="M59" s="108"/>
      <c r="N59" s="108"/>
      <c r="O59" s="108"/>
      <c r="P59" s="108"/>
    </row>
    <row r="60" spans="1:16" s="61" customFormat="1" ht="39" customHeight="1">
      <c r="A60" s="103" t="s">
        <v>217</v>
      </c>
      <c r="B60" s="71"/>
      <c r="C60" s="110" t="s">
        <v>218</v>
      </c>
      <c r="D60" s="71" t="s">
        <v>92</v>
      </c>
      <c r="E60" s="72">
        <v>2.8</v>
      </c>
      <c r="F60" s="111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1:16" s="109" customFormat="1" ht="15" customHeight="1">
      <c r="A61" s="104" t="s">
        <v>219</v>
      </c>
      <c r="B61" s="113"/>
      <c r="C61" s="112" t="s">
        <v>220</v>
      </c>
      <c r="D61" s="113" t="s">
        <v>151</v>
      </c>
      <c r="E61" s="114">
        <f>SUM(E60*12)</f>
        <v>33.599999999999994</v>
      </c>
      <c r="F61" s="115"/>
      <c r="G61" s="108"/>
      <c r="H61" s="108"/>
      <c r="I61" s="108"/>
      <c r="J61" s="108"/>
      <c r="K61" s="108"/>
      <c r="L61" s="108"/>
      <c r="M61" s="108"/>
      <c r="N61" s="108"/>
      <c r="O61" s="108"/>
      <c r="P61" s="108"/>
    </row>
    <row r="62" spans="1:16" s="109" customFormat="1" ht="15" customHeight="1">
      <c r="A62" s="104" t="s">
        <v>221</v>
      </c>
      <c r="B62" s="113"/>
      <c r="C62" s="112" t="s">
        <v>153</v>
      </c>
      <c r="D62" s="113" t="s">
        <v>154</v>
      </c>
      <c r="E62" s="114">
        <v>472</v>
      </c>
      <c r="F62" s="115"/>
      <c r="G62" s="108"/>
      <c r="H62" s="108"/>
      <c r="I62" s="108"/>
      <c r="J62" s="108"/>
      <c r="K62" s="108"/>
      <c r="L62" s="108"/>
      <c r="M62" s="108"/>
      <c r="N62" s="108"/>
      <c r="O62" s="108"/>
      <c r="P62" s="108"/>
    </row>
    <row r="63" spans="1:16" s="109" customFormat="1" ht="15" customHeight="1">
      <c r="A63" s="104" t="s">
        <v>222</v>
      </c>
      <c r="B63" s="113"/>
      <c r="C63" s="112" t="s">
        <v>158</v>
      </c>
      <c r="D63" s="113" t="s">
        <v>135</v>
      </c>
      <c r="E63" s="114">
        <f>2.68*1.04</f>
        <v>2.7872000000000003</v>
      </c>
      <c r="F63" s="115"/>
      <c r="G63" s="108"/>
      <c r="H63" s="108"/>
      <c r="I63" s="108"/>
      <c r="J63" s="108"/>
      <c r="K63" s="108"/>
      <c r="L63" s="108"/>
      <c r="M63" s="108"/>
      <c r="N63" s="108"/>
      <c r="O63" s="108"/>
      <c r="P63" s="108"/>
    </row>
    <row r="64" spans="1:16" s="109" customFormat="1" ht="15" customHeight="1">
      <c r="A64" s="104" t="s">
        <v>223</v>
      </c>
      <c r="B64" s="113"/>
      <c r="C64" s="112" t="s">
        <v>224</v>
      </c>
      <c r="D64" s="113" t="s">
        <v>135</v>
      </c>
      <c r="E64" s="114">
        <f>0.12*1.04</f>
        <v>0.1248</v>
      </c>
      <c r="F64" s="115"/>
      <c r="G64" s="108"/>
      <c r="H64" s="108"/>
      <c r="I64" s="108"/>
      <c r="J64" s="108"/>
      <c r="K64" s="108"/>
      <c r="L64" s="108"/>
      <c r="M64" s="108"/>
      <c r="N64" s="108"/>
      <c r="O64" s="108"/>
      <c r="P64" s="108"/>
    </row>
    <row r="65" spans="1:16" s="61" customFormat="1" ht="27" customHeight="1">
      <c r="A65" s="103" t="s">
        <v>225</v>
      </c>
      <c r="B65" s="71"/>
      <c r="C65" s="110" t="s">
        <v>226</v>
      </c>
      <c r="D65" s="71" t="s">
        <v>203</v>
      </c>
      <c r="E65" s="72">
        <v>4</v>
      </c>
      <c r="F65" s="111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1:16" s="109" customFormat="1" ht="15" customHeight="1">
      <c r="A66" s="104" t="s">
        <v>227</v>
      </c>
      <c r="B66" s="113"/>
      <c r="C66" s="112" t="s">
        <v>228</v>
      </c>
      <c r="D66" s="113" t="s">
        <v>203</v>
      </c>
      <c r="E66" s="114">
        <v>1</v>
      </c>
      <c r="F66" s="115"/>
      <c r="G66" s="108"/>
      <c r="H66" s="108"/>
      <c r="I66" s="108"/>
      <c r="J66" s="108"/>
      <c r="K66" s="108"/>
      <c r="L66" s="108"/>
      <c r="M66" s="108"/>
      <c r="N66" s="108"/>
      <c r="O66" s="108"/>
      <c r="P66" s="108"/>
    </row>
    <row r="67" spans="1:16" s="109" customFormat="1" ht="15" customHeight="1">
      <c r="A67" s="104" t="s">
        <v>229</v>
      </c>
      <c r="B67" s="113"/>
      <c r="C67" s="112" t="s">
        <v>230</v>
      </c>
      <c r="D67" s="113" t="s">
        <v>203</v>
      </c>
      <c r="E67" s="114">
        <v>1</v>
      </c>
      <c r="F67" s="115"/>
      <c r="G67" s="108"/>
      <c r="H67" s="108"/>
      <c r="I67" s="108"/>
      <c r="J67" s="108"/>
      <c r="K67" s="108"/>
      <c r="L67" s="108"/>
      <c r="M67" s="108"/>
      <c r="N67" s="108"/>
      <c r="O67" s="108"/>
      <c r="P67" s="108"/>
    </row>
    <row r="68" spans="1:16" s="109" customFormat="1" ht="15" customHeight="1">
      <c r="A68" s="104" t="s">
        <v>231</v>
      </c>
      <c r="B68" s="113"/>
      <c r="C68" s="112" t="s">
        <v>232</v>
      </c>
      <c r="D68" s="113" t="s">
        <v>203</v>
      </c>
      <c r="E68" s="114">
        <v>1</v>
      </c>
      <c r="F68" s="115"/>
      <c r="G68" s="108"/>
      <c r="H68" s="108"/>
      <c r="I68" s="108"/>
      <c r="J68" s="108"/>
      <c r="K68" s="108"/>
      <c r="L68" s="108"/>
      <c r="M68" s="108"/>
      <c r="N68" s="108"/>
      <c r="O68" s="108"/>
      <c r="P68" s="108"/>
    </row>
    <row r="69" spans="1:16" s="109" customFormat="1" ht="15" customHeight="1">
      <c r="A69" s="104" t="s">
        <v>233</v>
      </c>
      <c r="B69" s="113"/>
      <c r="C69" s="112" t="s">
        <v>234</v>
      </c>
      <c r="D69" s="113" t="s">
        <v>203</v>
      </c>
      <c r="E69" s="114">
        <v>1</v>
      </c>
      <c r="F69" s="115"/>
      <c r="G69" s="108"/>
      <c r="H69" s="108"/>
      <c r="I69" s="108"/>
      <c r="J69" s="108"/>
      <c r="K69" s="108"/>
      <c r="L69" s="108"/>
      <c r="M69" s="108"/>
      <c r="N69" s="108"/>
      <c r="O69" s="108"/>
      <c r="P69" s="108"/>
    </row>
    <row r="70" spans="1:16" s="109" customFormat="1" ht="15" customHeight="1">
      <c r="A70" s="104" t="s">
        <v>235</v>
      </c>
      <c r="B70" s="113"/>
      <c r="C70" s="112" t="s">
        <v>236</v>
      </c>
      <c r="D70" s="113" t="s">
        <v>151</v>
      </c>
      <c r="E70" s="114">
        <v>0.1</v>
      </c>
      <c r="F70" s="115"/>
      <c r="G70" s="108"/>
      <c r="H70" s="108"/>
      <c r="I70" s="108"/>
      <c r="J70" s="119"/>
      <c r="K70" s="108"/>
      <c r="L70" s="108"/>
      <c r="M70" s="108"/>
      <c r="N70" s="108"/>
      <c r="O70" s="108"/>
      <c r="P70" s="108"/>
    </row>
    <row r="71" spans="1:16" s="109" customFormat="1" ht="15" customHeight="1">
      <c r="A71" s="104" t="s">
        <v>237</v>
      </c>
      <c r="B71" s="113"/>
      <c r="C71" s="112" t="s">
        <v>238</v>
      </c>
      <c r="D71" s="113" t="s">
        <v>239</v>
      </c>
      <c r="E71" s="114">
        <v>8</v>
      </c>
      <c r="F71" s="115"/>
      <c r="G71" s="108"/>
      <c r="H71" s="108"/>
      <c r="I71" s="108"/>
      <c r="J71" s="108"/>
      <c r="K71" s="108"/>
      <c r="L71" s="108"/>
      <c r="M71" s="108"/>
      <c r="N71" s="108"/>
      <c r="O71" s="108"/>
      <c r="P71" s="108"/>
    </row>
    <row r="72" spans="1:16" s="109" customFormat="1" ht="15" customHeight="1">
      <c r="A72" s="104" t="s">
        <v>240</v>
      </c>
      <c r="B72" s="113"/>
      <c r="C72" s="112" t="s">
        <v>162</v>
      </c>
      <c r="D72" s="113" t="s">
        <v>118</v>
      </c>
      <c r="E72" s="114">
        <v>1</v>
      </c>
      <c r="F72" s="115"/>
      <c r="G72" s="108"/>
      <c r="H72" s="108"/>
      <c r="I72" s="108"/>
      <c r="J72" s="108"/>
      <c r="K72" s="108"/>
      <c r="L72" s="108"/>
      <c r="M72" s="108"/>
      <c r="N72" s="108"/>
      <c r="O72" s="108"/>
      <c r="P72" s="108"/>
    </row>
    <row r="73" spans="1:16" s="61" customFormat="1" ht="28.5" customHeight="1">
      <c r="A73" s="103" t="s">
        <v>241</v>
      </c>
      <c r="B73" s="71"/>
      <c r="C73" s="110" t="s">
        <v>242</v>
      </c>
      <c r="D73" s="71" t="s">
        <v>92</v>
      </c>
      <c r="E73" s="72">
        <v>1.69</v>
      </c>
      <c r="F73" s="111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1:16" s="109" customFormat="1" ht="15" customHeight="1">
      <c r="A74" s="104" t="s">
        <v>243</v>
      </c>
      <c r="B74" s="113"/>
      <c r="C74" s="112" t="s">
        <v>141</v>
      </c>
      <c r="D74" s="113" t="s">
        <v>151</v>
      </c>
      <c r="E74" s="114">
        <f>SUM(E73*12)</f>
        <v>20.28</v>
      </c>
      <c r="F74" s="115"/>
      <c r="G74" s="108"/>
      <c r="H74" s="108"/>
      <c r="I74" s="108"/>
      <c r="J74" s="108"/>
      <c r="K74" s="108"/>
      <c r="L74" s="108"/>
      <c r="M74" s="108"/>
      <c r="N74" s="108"/>
      <c r="O74" s="108"/>
      <c r="P74" s="108"/>
    </row>
    <row r="75" spans="1:16" s="109" customFormat="1" ht="15" customHeight="1">
      <c r="A75" s="104" t="s">
        <v>244</v>
      </c>
      <c r="B75" s="113"/>
      <c r="C75" s="112" t="s">
        <v>245</v>
      </c>
      <c r="D75" s="113" t="s">
        <v>154</v>
      </c>
      <c r="E75" s="114">
        <v>137</v>
      </c>
      <c r="F75" s="115"/>
      <c r="G75" s="108"/>
      <c r="H75" s="108"/>
      <c r="I75" s="108"/>
      <c r="J75" s="108"/>
      <c r="K75" s="108"/>
      <c r="L75" s="108"/>
      <c r="M75" s="108"/>
      <c r="N75" s="108"/>
      <c r="O75" s="108"/>
      <c r="P75" s="108"/>
    </row>
    <row r="76" spans="1:16" s="109" customFormat="1" ht="15" customHeight="1">
      <c r="A76" s="104" t="s">
        <v>246</v>
      </c>
      <c r="B76" s="113"/>
      <c r="C76" s="112" t="s">
        <v>224</v>
      </c>
      <c r="D76" s="113" t="s">
        <v>135</v>
      </c>
      <c r="E76" s="114">
        <f>SUM(E73*1.05)</f>
        <v>1.7745</v>
      </c>
      <c r="F76" s="115"/>
      <c r="G76" s="108"/>
      <c r="H76" s="108"/>
      <c r="I76" s="108"/>
      <c r="J76" s="108"/>
      <c r="K76" s="108"/>
      <c r="L76" s="108"/>
      <c r="M76" s="108"/>
      <c r="N76" s="108"/>
      <c r="O76" s="108"/>
      <c r="P76" s="108"/>
    </row>
    <row r="77" spans="1:16" s="61" customFormat="1" ht="27" customHeight="1">
      <c r="A77" s="103" t="s">
        <v>247</v>
      </c>
      <c r="B77" s="71"/>
      <c r="C77" s="110" t="s">
        <v>248</v>
      </c>
      <c r="D77" s="71" t="s">
        <v>77</v>
      </c>
      <c r="E77" s="72">
        <v>80</v>
      </c>
      <c r="F77" s="111"/>
      <c r="G77" s="78"/>
      <c r="H77" s="78"/>
      <c r="I77" s="78"/>
      <c r="J77" s="78"/>
      <c r="K77" s="78"/>
      <c r="L77" s="78"/>
      <c r="M77" s="78"/>
      <c r="N77" s="78"/>
      <c r="O77" s="78"/>
      <c r="P77" s="78"/>
    </row>
    <row r="78" spans="1:16" ht="15" customHeight="1">
      <c r="A78" s="120" t="s">
        <v>249</v>
      </c>
      <c r="B78" s="69"/>
      <c r="C78" s="126" t="s">
        <v>250</v>
      </c>
      <c r="D78" s="69" t="s">
        <v>77</v>
      </c>
      <c r="E78" s="127">
        <v>49</v>
      </c>
      <c r="F78" s="128"/>
      <c r="G78" s="129"/>
      <c r="H78" s="129"/>
      <c r="I78" s="129"/>
      <c r="J78" s="129"/>
      <c r="K78" s="129"/>
      <c r="L78" s="129"/>
      <c r="M78" s="129"/>
      <c r="N78" s="129"/>
      <c r="O78" s="129"/>
      <c r="P78" s="129"/>
    </row>
    <row r="79" spans="1:16" ht="15" customHeight="1">
      <c r="A79" s="120" t="s">
        <v>251</v>
      </c>
      <c r="B79" s="69"/>
      <c r="C79" s="126" t="s">
        <v>252</v>
      </c>
      <c r="D79" s="69" t="s">
        <v>77</v>
      </c>
      <c r="E79" s="127">
        <v>31</v>
      </c>
      <c r="F79" s="128"/>
      <c r="G79" s="129"/>
      <c r="H79" s="129"/>
      <c r="I79" s="129"/>
      <c r="J79" s="129"/>
      <c r="K79" s="129"/>
      <c r="L79" s="129"/>
      <c r="M79" s="129"/>
      <c r="N79" s="129"/>
      <c r="O79" s="129"/>
      <c r="P79" s="129"/>
    </row>
    <row r="80" spans="1:16" ht="15" customHeight="1">
      <c r="A80" s="120" t="s">
        <v>253</v>
      </c>
      <c r="B80" s="69"/>
      <c r="C80" s="126" t="s">
        <v>162</v>
      </c>
      <c r="D80" s="69" t="s">
        <v>118</v>
      </c>
      <c r="E80" s="127">
        <v>1</v>
      </c>
      <c r="F80" s="128"/>
      <c r="G80" s="129"/>
      <c r="H80" s="129"/>
      <c r="I80" s="129"/>
      <c r="J80" s="129"/>
      <c r="K80" s="129"/>
      <c r="L80" s="129"/>
      <c r="M80" s="129"/>
      <c r="N80" s="129"/>
      <c r="O80" s="129"/>
      <c r="P80" s="129"/>
    </row>
    <row r="81" spans="1:16" ht="15" customHeight="1">
      <c r="A81" s="120" t="s">
        <v>254</v>
      </c>
      <c r="B81" s="69"/>
      <c r="C81" s="126" t="s">
        <v>238</v>
      </c>
      <c r="D81" s="69" t="s">
        <v>108</v>
      </c>
      <c r="E81" s="127">
        <v>1</v>
      </c>
      <c r="F81" s="128"/>
      <c r="G81" s="129"/>
      <c r="H81" s="129"/>
      <c r="I81" s="129"/>
      <c r="J81" s="129"/>
      <c r="K81" s="129"/>
      <c r="L81" s="129"/>
      <c r="M81" s="129"/>
      <c r="N81" s="129"/>
      <c r="O81" s="129"/>
      <c r="P81" s="129"/>
    </row>
    <row r="82" spans="1:16" s="109" customFormat="1" ht="15" customHeight="1">
      <c r="A82" s="120"/>
      <c r="B82" s="113"/>
      <c r="C82" s="121" t="s">
        <v>255</v>
      </c>
      <c r="D82" s="113"/>
      <c r="E82" s="114"/>
      <c r="F82" s="115"/>
      <c r="G82" s="108"/>
      <c r="H82" s="108"/>
      <c r="I82" s="108"/>
      <c r="J82" s="108"/>
      <c r="K82" s="108"/>
      <c r="L82" s="108"/>
      <c r="M82" s="108"/>
      <c r="N82" s="108"/>
      <c r="O82" s="108"/>
      <c r="P82" s="108"/>
    </row>
    <row r="83" spans="1:16" s="61" customFormat="1" ht="15" customHeight="1">
      <c r="A83" s="103" t="s">
        <v>256</v>
      </c>
      <c r="B83" s="71"/>
      <c r="C83" s="110" t="s">
        <v>257</v>
      </c>
      <c r="D83" s="71" t="s">
        <v>92</v>
      </c>
      <c r="E83" s="72">
        <v>0.18</v>
      </c>
      <c r="F83" s="111"/>
      <c r="G83" s="78"/>
      <c r="H83" s="78"/>
      <c r="I83" s="78"/>
      <c r="J83" s="78"/>
      <c r="K83" s="78"/>
      <c r="L83" s="78"/>
      <c r="M83" s="78"/>
      <c r="N83" s="78"/>
      <c r="O83" s="78"/>
      <c r="P83" s="78"/>
    </row>
    <row r="84" spans="1:16" s="109" customFormat="1" ht="15" customHeight="1">
      <c r="A84" s="104" t="s">
        <v>258</v>
      </c>
      <c r="B84" s="113"/>
      <c r="C84" s="112" t="s">
        <v>141</v>
      </c>
      <c r="D84" s="113" t="s">
        <v>151</v>
      </c>
      <c r="E84" s="114">
        <f>SUM(E83*10)</f>
        <v>1.7999999999999998</v>
      </c>
      <c r="F84" s="115"/>
      <c r="G84" s="108"/>
      <c r="H84" s="108"/>
      <c r="I84" s="108"/>
      <c r="J84" s="108"/>
      <c r="K84" s="108"/>
      <c r="L84" s="108"/>
      <c r="M84" s="108"/>
      <c r="N84" s="108"/>
      <c r="O84" s="108"/>
      <c r="P84" s="108"/>
    </row>
    <row r="85" spans="1:16" s="109" customFormat="1" ht="15" customHeight="1">
      <c r="A85" s="104" t="s">
        <v>259</v>
      </c>
      <c r="B85" s="113"/>
      <c r="C85" s="112" t="s">
        <v>245</v>
      </c>
      <c r="D85" s="113" t="s">
        <v>154</v>
      </c>
      <c r="E85" s="114">
        <v>14</v>
      </c>
      <c r="F85" s="115"/>
      <c r="G85" s="108"/>
      <c r="H85" s="108"/>
      <c r="I85" s="108"/>
      <c r="J85" s="108"/>
      <c r="K85" s="108"/>
      <c r="L85" s="108"/>
      <c r="M85" s="108"/>
      <c r="N85" s="108"/>
      <c r="O85" s="108"/>
      <c r="P85" s="108"/>
    </row>
    <row r="86" spans="1:16" s="109" customFormat="1" ht="15" customHeight="1">
      <c r="A86" s="104" t="s">
        <v>260</v>
      </c>
      <c r="B86" s="113"/>
      <c r="C86" s="112" t="s">
        <v>158</v>
      </c>
      <c r="D86" s="113" t="s">
        <v>135</v>
      </c>
      <c r="E86" s="114">
        <f>SUM(E83*1.03)</f>
        <v>0.1854</v>
      </c>
      <c r="F86" s="115"/>
      <c r="G86" s="108"/>
      <c r="H86" s="108"/>
      <c r="I86" s="108"/>
      <c r="J86" s="108"/>
      <c r="K86" s="108"/>
      <c r="L86" s="108"/>
      <c r="M86" s="108"/>
      <c r="N86" s="108"/>
      <c r="O86" s="108"/>
      <c r="P86" s="108"/>
    </row>
    <row r="87" spans="1:16" s="109" customFormat="1" ht="18.75" customHeight="1">
      <c r="A87" s="120"/>
      <c r="B87" s="113"/>
      <c r="C87" s="121" t="s">
        <v>261</v>
      </c>
      <c r="D87" s="113"/>
      <c r="E87" s="114"/>
      <c r="F87" s="115"/>
      <c r="G87" s="108"/>
      <c r="H87" s="108"/>
      <c r="I87" s="108"/>
      <c r="J87" s="108"/>
      <c r="K87" s="108"/>
      <c r="L87" s="108"/>
      <c r="M87" s="108"/>
      <c r="N87" s="108"/>
      <c r="O87" s="108"/>
      <c r="P87" s="108"/>
    </row>
    <row r="88" spans="1:16" s="61" customFormat="1" ht="42" customHeight="1">
      <c r="A88" s="103" t="s">
        <v>262</v>
      </c>
      <c r="B88" s="87"/>
      <c r="C88" s="79" t="s">
        <v>263</v>
      </c>
      <c r="D88" s="87" t="s">
        <v>92</v>
      </c>
      <c r="E88" s="77">
        <v>1.84</v>
      </c>
      <c r="F88" s="111"/>
      <c r="G88" s="78"/>
      <c r="H88" s="78"/>
      <c r="I88" s="78"/>
      <c r="J88" s="78"/>
      <c r="K88" s="78"/>
      <c r="L88" s="78"/>
      <c r="M88" s="78"/>
      <c r="N88" s="78"/>
      <c r="O88" s="78"/>
      <c r="P88" s="78"/>
    </row>
    <row r="89" spans="1:16" s="109" customFormat="1" ht="15" customHeight="1">
      <c r="A89" s="104" t="s">
        <v>264</v>
      </c>
      <c r="B89" s="105"/>
      <c r="C89" s="116" t="s">
        <v>141</v>
      </c>
      <c r="D89" s="105" t="s">
        <v>151</v>
      </c>
      <c r="E89" s="107">
        <f>SUM(E88*10)</f>
        <v>18.400000000000002</v>
      </c>
      <c r="F89" s="115"/>
      <c r="G89" s="108"/>
      <c r="H89" s="108"/>
      <c r="I89" s="117"/>
      <c r="J89" s="108"/>
      <c r="K89" s="108"/>
      <c r="L89" s="108"/>
      <c r="M89" s="108"/>
      <c r="N89" s="108"/>
      <c r="O89" s="108"/>
      <c r="P89" s="108"/>
    </row>
    <row r="90" spans="1:16" s="109" customFormat="1" ht="15" customHeight="1">
      <c r="A90" s="104" t="s">
        <v>265</v>
      </c>
      <c r="B90" s="105"/>
      <c r="C90" s="116" t="s">
        <v>266</v>
      </c>
      <c r="D90" s="105" t="s">
        <v>154</v>
      </c>
      <c r="E90" s="107">
        <v>184</v>
      </c>
      <c r="F90" s="115"/>
      <c r="G90" s="108"/>
      <c r="H90" s="108"/>
      <c r="I90" s="117"/>
      <c r="J90" s="108"/>
      <c r="K90" s="108"/>
      <c r="L90" s="108"/>
      <c r="M90" s="108"/>
      <c r="N90" s="108"/>
      <c r="O90" s="108"/>
      <c r="P90" s="108"/>
    </row>
    <row r="91" spans="1:16" s="109" customFormat="1" ht="15" customHeight="1">
      <c r="A91" s="104" t="s">
        <v>267</v>
      </c>
      <c r="B91" s="105"/>
      <c r="C91" s="116" t="s">
        <v>224</v>
      </c>
      <c r="D91" s="105" t="s">
        <v>135</v>
      </c>
      <c r="E91" s="107">
        <f>SUM(E88*1.03)</f>
        <v>1.8952000000000002</v>
      </c>
      <c r="F91" s="115"/>
      <c r="G91" s="108"/>
      <c r="H91" s="108"/>
      <c r="I91" s="117"/>
      <c r="J91" s="108"/>
      <c r="K91" s="108"/>
      <c r="L91" s="108"/>
      <c r="M91" s="108"/>
      <c r="N91" s="108"/>
      <c r="O91" s="108"/>
      <c r="P91" s="108"/>
    </row>
    <row r="92" spans="1:16" s="109" customFormat="1" ht="12.75" customHeight="1">
      <c r="A92" s="130"/>
      <c r="B92" s="131"/>
      <c r="C92" s="132"/>
      <c r="D92" s="131"/>
      <c r="E92" s="133"/>
      <c r="F92" s="131"/>
      <c r="G92" s="133"/>
      <c r="H92" s="134"/>
      <c r="I92" s="134"/>
      <c r="J92" s="134"/>
      <c r="K92" s="134"/>
      <c r="L92" s="134"/>
      <c r="M92" s="134"/>
      <c r="N92" s="134"/>
      <c r="O92" s="134"/>
      <c r="P92" s="134"/>
    </row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</sheetData>
  <mergeCells count="10">
    <mergeCell ref="N8:O8"/>
    <mergeCell ref="I9:P9"/>
    <mergeCell ref="A10:H10"/>
    <mergeCell ref="A11:A12"/>
    <mergeCell ref="B11:B12"/>
    <mergeCell ref="C11:C12"/>
    <mergeCell ref="D11:D12"/>
    <mergeCell ref="E11:E12"/>
    <mergeCell ref="F11:K11"/>
    <mergeCell ref="L11:P11"/>
  </mergeCells>
  <printOptions horizontalCentered="1"/>
  <pageMargins left="0.39375" right="0.39375" top="0.9840277777777777" bottom="0.5902777777777778" header="0.5118055555555555" footer="0.19652777777777777"/>
  <pageSetup horizontalDpi="300" verticalDpi="300" orientation="landscape" paperSize="9" scale="85"/>
  <headerFooter alignWithMargins="0">
    <oddFooter>&amp;CPage &amp;P&amp;R&amp;A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7"/>
  <sheetViews>
    <sheetView zoomScale="75" zoomScaleNormal="75" zoomScaleSheetLayoutView="140" workbookViewId="0" topLeftCell="A1">
      <selection activeCell="L10" sqref="L10"/>
    </sheetView>
  </sheetViews>
  <sheetFormatPr defaultColWidth="9.140625" defaultRowHeight="12.75"/>
  <cols>
    <col min="1" max="1" width="7.140625" style="9" customWidth="1"/>
    <col min="2" max="2" width="5.00390625" style="9" customWidth="1"/>
    <col min="3" max="3" width="33.57421875" style="9" customWidth="1"/>
    <col min="4" max="4" width="7.140625" style="135" customWidth="1"/>
    <col min="5" max="10" width="8.57421875" style="9" customWidth="1"/>
    <col min="11" max="16" width="10.00390625" style="9" customWidth="1"/>
    <col min="17" max="16384" width="9.140625" style="9" customWidth="1"/>
  </cols>
  <sheetData>
    <row r="1" spans="1:16" ht="14.25">
      <c r="A1" s="58"/>
      <c r="B1" s="58"/>
      <c r="C1" s="58"/>
      <c r="D1" s="58"/>
      <c r="E1" s="58"/>
      <c r="F1" s="58"/>
      <c r="G1" s="58" t="s">
        <v>268</v>
      </c>
      <c r="H1" s="58"/>
      <c r="I1" s="58"/>
      <c r="J1" s="58"/>
      <c r="K1" s="58"/>
      <c r="L1" s="58"/>
      <c r="M1" s="58"/>
      <c r="N1" s="58"/>
      <c r="O1" s="58"/>
      <c r="P1" s="58"/>
    </row>
    <row r="2" spans="1:16" ht="14.25">
      <c r="A2" s="59"/>
      <c r="B2" s="59"/>
      <c r="C2" s="59"/>
      <c r="D2" s="59"/>
      <c r="E2" s="59"/>
      <c r="F2" s="59"/>
      <c r="G2" s="59" t="s">
        <v>269</v>
      </c>
      <c r="H2" s="59"/>
      <c r="I2" s="59"/>
      <c r="J2" s="59"/>
      <c r="K2" s="59"/>
      <c r="L2" s="59"/>
      <c r="M2" s="59"/>
      <c r="N2" s="59"/>
      <c r="O2" s="59"/>
      <c r="P2" s="59"/>
    </row>
    <row r="3" spans="1:16" ht="14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16" ht="12.75" customHeight="1">
      <c r="A4" s="7" t="s">
        <v>23</v>
      </c>
      <c r="B4" s="8"/>
      <c r="C4"/>
      <c r="D4" s="7" t="s">
        <v>24</v>
      </c>
      <c r="E4" s="60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2.75" customHeight="1">
      <c r="A5" s="7" t="s">
        <v>25</v>
      </c>
      <c r="B5" s="10"/>
      <c r="C5"/>
      <c r="D5" s="32" t="s">
        <v>26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5" s="9" customFormat="1" ht="12.75" customHeight="1">
      <c r="A6" s="7" t="s">
        <v>4</v>
      </c>
      <c r="B6" s="8"/>
      <c r="C6"/>
      <c r="E6" s="8"/>
    </row>
    <row r="7" spans="1:16" ht="12.75" customHeight="1">
      <c r="A7" s="10" t="s">
        <v>5</v>
      </c>
      <c r="B7" s="11"/>
      <c r="C7"/>
      <c r="D7" s="9" t="s">
        <v>6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2.75" customHeight="1">
      <c r="A8" s="7" t="s">
        <v>7</v>
      </c>
      <c r="B8" s="10"/>
      <c r="C8"/>
      <c r="D8" s="51" t="s">
        <v>8</v>
      </c>
      <c r="F8" s="10"/>
      <c r="G8" s="10"/>
      <c r="H8" s="10"/>
      <c r="I8" s="61"/>
      <c r="J8" s="61"/>
      <c r="K8" s="62"/>
      <c r="L8" s="61"/>
      <c r="M8" s="61"/>
      <c r="N8" s="63"/>
      <c r="O8" s="63"/>
      <c r="P8" s="61"/>
    </row>
    <row r="9" spans="1:16" ht="12">
      <c r="A9" s="7" t="s">
        <v>9</v>
      </c>
      <c r="B9" s="8"/>
      <c r="C9"/>
      <c r="D9" s="7" t="s">
        <v>10</v>
      </c>
      <c r="E9" s="10"/>
      <c r="I9" s="7"/>
      <c r="J9" s="7"/>
      <c r="K9" s="7"/>
      <c r="L9" s="7"/>
      <c r="M9" s="7"/>
      <c r="N9" s="7"/>
      <c r="O9" s="7"/>
      <c r="P9" s="7"/>
    </row>
    <row r="10" spans="1:8" ht="12.75" customHeight="1">
      <c r="A10" s="7"/>
      <c r="B10" s="7"/>
      <c r="C10" s="7"/>
      <c r="D10" s="7"/>
      <c r="E10" s="7"/>
      <c r="F10" s="7"/>
      <c r="G10" s="7"/>
      <c r="H10" s="7"/>
    </row>
    <row r="11" spans="1:16" ht="15.75" customHeight="1">
      <c r="A11" s="39" t="s">
        <v>56</v>
      </c>
      <c r="B11" s="65" t="s">
        <v>57</v>
      </c>
      <c r="C11" s="66" t="s">
        <v>58</v>
      </c>
      <c r="D11" s="65" t="s">
        <v>59</v>
      </c>
      <c r="E11" s="65" t="s">
        <v>60</v>
      </c>
      <c r="F11" s="66" t="s">
        <v>61</v>
      </c>
      <c r="G11" s="66"/>
      <c r="H11" s="66"/>
      <c r="I11" s="66"/>
      <c r="J11" s="66"/>
      <c r="K11" s="66"/>
      <c r="L11" s="66" t="s">
        <v>62</v>
      </c>
      <c r="M11" s="66" t="s">
        <v>62</v>
      </c>
      <c r="N11" s="66"/>
      <c r="O11" s="66"/>
      <c r="P11" s="66"/>
    </row>
    <row r="12" spans="1:16" ht="57.75" customHeight="1">
      <c r="A12" s="39"/>
      <c r="B12" s="65"/>
      <c r="C12" s="66"/>
      <c r="D12" s="65"/>
      <c r="E12" s="65"/>
      <c r="F12" s="65" t="s">
        <v>63</v>
      </c>
      <c r="G12" s="65" t="s">
        <v>64</v>
      </c>
      <c r="H12" s="65" t="s">
        <v>65</v>
      </c>
      <c r="I12" s="65" t="s">
        <v>66</v>
      </c>
      <c r="J12" s="65" t="s">
        <v>67</v>
      </c>
      <c r="K12" s="65" t="s">
        <v>68</v>
      </c>
      <c r="L12" s="65" t="s">
        <v>49</v>
      </c>
      <c r="M12" s="65" t="s">
        <v>69</v>
      </c>
      <c r="N12" s="65" t="s">
        <v>70</v>
      </c>
      <c r="O12" s="65" t="s">
        <v>67</v>
      </c>
      <c r="P12" s="65" t="s">
        <v>71</v>
      </c>
    </row>
    <row r="13" spans="1:16" ht="12.75" customHeight="1">
      <c r="A13" s="137">
        <v>1</v>
      </c>
      <c r="B13" s="137">
        <v>2</v>
      </c>
      <c r="C13" s="137">
        <v>3</v>
      </c>
      <c r="D13" s="137">
        <v>4</v>
      </c>
      <c r="E13" s="137">
        <v>5</v>
      </c>
      <c r="F13" s="137">
        <v>6</v>
      </c>
      <c r="G13" s="137">
        <v>7</v>
      </c>
      <c r="H13" s="137">
        <v>8</v>
      </c>
      <c r="I13" s="137">
        <v>9</v>
      </c>
      <c r="J13" s="137">
        <v>10</v>
      </c>
      <c r="K13" s="137">
        <v>11</v>
      </c>
      <c r="L13" s="137">
        <v>12</v>
      </c>
      <c r="M13" s="137">
        <v>13</v>
      </c>
      <c r="N13" s="137">
        <v>14</v>
      </c>
      <c r="O13" s="137">
        <v>15</v>
      </c>
      <c r="P13" s="137">
        <v>16</v>
      </c>
    </row>
    <row r="14" spans="1:16" s="11" customFormat="1" ht="18" customHeight="1">
      <c r="A14" s="138"/>
      <c r="B14" s="138"/>
      <c r="C14" s="139" t="s">
        <v>270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</row>
    <row r="15" spans="1:16" s="31" customFormat="1" ht="31.5" customHeight="1">
      <c r="A15" s="73" t="s">
        <v>271</v>
      </c>
      <c r="B15" s="91"/>
      <c r="C15" s="79" t="s">
        <v>272</v>
      </c>
      <c r="D15" s="91" t="s">
        <v>74</v>
      </c>
      <c r="E15" s="91">
        <v>170.2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</row>
    <row r="16" spans="1:16" s="144" customFormat="1" ht="18" customHeight="1">
      <c r="A16" s="140" t="s">
        <v>273</v>
      </c>
      <c r="B16" s="141"/>
      <c r="C16" s="116" t="s">
        <v>274</v>
      </c>
      <c r="D16" s="141" t="s">
        <v>135</v>
      </c>
      <c r="E16" s="142">
        <v>51.06</v>
      </c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</row>
    <row r="17" spans="1:16" s="144" customFormat="1" ht="18" customHeight="1">
      <c r="A17" s="140" t="s">
        <v>275</v>
      </c>
      <c r="B17" s="141"/>
      <c r="C17" s="116" t="s">
        <v>276</v>
      </c>
      <c r="D17" s="141" t="s">
        <v>77</v>
      </c>
      <c r="E17" s="141">
        <f>ROUND((E15*2)*1.03,0)</f>
        <v>351</v>
      </c>
      <c r="F17" s="143"/>
      <c r="G17" s="143"/>
      <c r="H17" s="143"/>
      <c r="I17" s="145"/>
      <c r="J17" s="143"/>
      <c r="K17" s="143"/>
      <c r="L17" s="143"/>
      <c r="M17" s="143"/>
      <c r="N17" s="143"/>
      <c r="O17" s="143"/>
      <c r="P17" s="143"/>
    </row>
    <row r="18" spans="1:16" s="144" customFormat="1" ht="18" customHeight="1">
      <c r="A18" s="140" t="s">
        <v>277</v>
      </c>
      <c r="B18" s="141"/>
      <c r="C18" s="116" t="s">
        <v>278</v>
      </c>
      <c r="D18" s="141" t="s">
        <v>115</v>
      </c>
      <c r="E18" s="146">
        <f>SUM(E15*0.025)*1.05</f>
        <v>4.46775</v>
      </c>
      <c r="F18" s="143"/>
      <c r="G18" s="143"/>
      <c r="H18" s="143"/>
      <c r="I18" s="145"/>
      <c r="J18" s="143"/>
      <c r="K18" s="143"/>
      <c r="L18" s="143"/>
      <c r="M18" s="143"/>
      <c r="N18" s="143"/>
      <c r="O18" s="143"/>
      <c r="P18" s="143"/>
    </row>
    <row r="19" spans="1:16" s="31" customFormat="1" ht="20.25" customHeight="1">
      <c r="A19" s="73" t="s">
        <v>279</v>
      </c>
      <c r="B19" s="147"/>
      <c r="C19" s="148" t="s">
        <v>280</v>
      </c>
      <c r="D19" s="37" t="s">
        <v>74</v>
      </c>
      <c r="E19" s="80">
        <v>68.7</v>
      </c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</row>
    <row r="20" spans="1:16" s="144" customFormat="1" ht="16.5" customHeight="1">
      <c r="A20" s="140" t="s">
        <v>281</v>
      </c>
      <c r="B20" s="141"/>
      <c r="C20" s="116" t="s">
        <v>282</v>
      </c>
      <c r="D20" s="141" t="s">
        <v>135</v>
      </c>
      <c r="E20" s="143">
        <v>13.74</v>
      </c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</row>
    <row r="21" spans="1:16" s="144" customFormat="1" ht="16.5" customHeight="1">
      <c r="A21" s="140" t="s">
        <v>283</v>
      </c>
      <c r="B21" s="141"/>
      <c r="C21" s="116" t="s">
        <v>276</v>
      </c>
      <c r="D21" s="141" t="s">
        <v>77</v>
      </c>
      <c r="E21" s="145">
        <f>SUM(E19*2)*1.03</f>
        <v>141.52200000000002</v>
      </c>
      <c r="F21" s="143"/>
      <c r="G21" s="143"/>
      <c r="H21" s="143"/>
      <c r="I21" s="145"/>
      <c r="J21" s="143"/>
      <c r="K21" s="143"/>
      <c r="L21" s="143"/>
      <c r="M21" s="143"/>
      <c r="N21" s="143"/>
      <c r="O21" s="143"/>
      <c r="P21" s="143"/>
    </row>
    <row r="22" spans="1:16" s="144" customFormat="1" ht="18" customHeight="1">
      <c r="A22" s="140" t="s">
        <v>284</v>
      </c>
      <c r="B22" s="141"/>
      <c r="C22" s="116" t="s">
        <v>278</v>
      </c>
      <c r="D22" s="141" t="s">
        <v>115</v>
      </c>
      <c r="E22" s="145">
        <f>SUM(E20*0.18)*1.05</f>
        <v>2.59686</v>
      </c>
      <c r="F22" s="143"/>
      <c r="G22" s="143"/>
      <c r="H22" s="143"/>
      <c r="I22" s="145"/>
      <c r="J22" s="143"/>
      <c r="K22" s="143"/>
      <c r="L22" s="143"/>
      <c r="M22" s="143"/>
      <c r="N22" s="143"/>
      <c r="O22" s="143"/>
      <c r="P22" s="143"/>
    </row>
    <row r="23" spans="1:16" s="31" customFormat="1" ht="18.75" customHeight="1">
      <c r="A23" s="73" t="s">
        <v>279</v>
      </c>
      <c r="B23" s="147"/>
      <c r="C23" s="148" t="s">
        <v>285</v>
      </c>
      <c r="D23" s="37" t="s">
        <v>74</v>
      </c>
      <c r="E23" s="80">
        <v>1</v>
      </c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</row>
    <row r="24" spans="1:16" s="144" customFormat="1" ht="16.5" customHeight="1">
      <c r="A24" s="140" t="s">
        <v>281</v>
      </c>
      <c r="B24" s="141"/>
      <c r="C24" s="116" t="s">
        <v>286</v>
      </c>
      <c r="D24" s="141" t="s">
        <v>135</v>
      </c>
      <c r="E24" s="143">
        <v>0.15</v>
      </c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</row>
    <row r="25" spans="1:16" s="144" customFormat="1" ht="16.5" customHeight="1">
      <c r="A25" s="140" t="s">
        <v>283</v>
      </c>
      <c r="B25" s="141"/>
      <c r="C25" s="116" t="s">
        <v>276</v>
      </c>
      <c r="D25" s="141" t="s">
        <v>77</v>
      </c>
      <c r="E25" s="145">
        <f>SUM(E23*2)*1.03</f>
        <v>2.06</v>
      </c>
      <c r="F25" s="143"/>
      <c r="G25" s="143"/>
      <c r="H25" s="143"/>
      <c r="I25" s="145"/>
      <c r="J25" s="143"/>
      <c r="K25" s="143"/>
      <c r="L25" s="143"/>
      <c r="M25" s="143"/>
      <c r="N25" s="143"/>
      <c r="O25" s="143"/>
      <c r="P25" s="143"/>
    </row>
    <row r="26" spans="1:16" s="144" customFormat="1" ht="18" customHeight="1">
      <c r="A26" s="140" t="s">
        <v>284</v>
      </c>
      <c r="B26" s="141"/>
      <c r="C26" s="116" t="s">
        <v>278</v>
      </c>
      <c r="D26" s="141" t="s">
        <v>115</v>
      </c>
      <c r="E26" s="145">
        <f>SUM(E24*0.18)*1.05</f>
        <v>0.02835</v>
      </c>
      <c r="F26" s="143"/>
      <c r="G26" s="143"/>
      <c r="H26" s="143"/>
      <c r="I26" s="145"/>
      <c r="J26" s="143"/>
      <c r="K26" s="143"/>
      <c r="L26" s="143"/>
      <c r="M26" s="143"/>
      <c r="N26" s="143"/>
      <c r="O26" s="143"/>
      <c r="P26" s="143"/>
    </row>
    <row r="27" spans="1:16" s="31" customFormat="1" ht="18" customHeight="1">
      <c r="A27" s="140" t="s">
        <v>287</v>
      </c>
      <c r="B27" s="91"/>
      <c r="C27" s="79" t="s">
        <v>288</v>
      </c>
      <c r="D27" s="91" t="s">
        <v>289</v>
      </c>
      <c r="E27" s="80">
        <v>11</v>
      </c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</row>
    <row r="28" spans="1:16" s="144" customFormat="1" ht="15.75" customHeight="1">
      <c r="A28" s="140" t="s">
        <v>290</v>
      </c>
      <c r="B28" s="141"/>
      <c r="C28" s="116" t="s">
        <v>291</v>
      </c>
      <c r="D28" s="141" t="s">
        <v>203</v>
      </c>
      <c r="E28" s="145">
        <v>4</v>
      </c>
      <c r="F28" s="143"/>
      <c r="G28" s="143"/>
      <c r="H28" s="143"/>
      <c r="I28" s="145"/>
      <c r="J28" s="143"/>
      <c r="K28" s="143"/>
      <c r="L28" s="143"/>
      <c r="M28" s="143"/>
      <c r="N28" s="143"/>
      <c r="O28" s="143"/>
      <c r="P28" s="143"/>
    </row>
    <row r="29" spans="1:16" s="144" customFormat="1" ht="15.75" customHeight="1">
      <c r="A29" s="140" t="s">
        <v>292</v>
      </c>
      <c r="B29" s="141"/>
      <c r="C29" s="116" t="s">
        <v>293</v>
      </c>
      <c r="D29" s="141" t="s">
        <v>203</v>
      </c>
      <c r="E29" s="145">
        <v>1</v>
      </c>
      <c r="F29" s="143"/>
      <c r="G29" s="143"/>
      <c r="H29" s="143"/>
      <c r="I29" s="145"/>
      <c r="J29" s="143"/>
      <c r="K29" s="143"/>
      <c r="L29" s="143"/>
      <c r="M29" s="143"/>
      <c r="N29" s="143"/>
      <c r="O29" s="143"/>
      <c r="P29" s="143"/>
    </row>
    <row r="30" spans="1:16" s="144" customFormat="1" ht="15.75" customHeight="1">
      <c r="A30" s="140" t="s">
        <v>294</v>
      </c>
      <c r="B30" s="141"/>
      <c r="C30" s="116" t="s">
        <v>295</v>
      </c>
      <c r="D30" s="141" t="s">
        <v>203</v>
      </c>
      <c r="E30" s="145">
        <v>1</v>
      </c>
      <c r="F30" s="143"/>
      <c r="G30" s="143"/>
      <c r="H30" s="143"/>
      <c r="I30" s="145"/>
      <c r="J30" s="143"/>
      <c r="K30" s="143"/>
      <c r="L30" s="143"/>
      <c r="M30" s="143"/>
      <c r="N30" s="143"/>
      <c r="O30" s="143"/>
      <c r="P30" s="143"/>
    </row>
    <row r="31" spans="1:16" s="144" customFormat="1" ht="15.75" customHeight="1">
      <c r="A31" s="140" t="s">
        <v>296</v>
      </c>
      <c r="B31" s="141"/>
      <c r="C31" s="116" t="s">
        <v>297</v>
      </c>
      <c r="D31" s="141" t="s">
        <v>289</v>
      </c>
      <c r="E31" s="145">
        <v>1</v>
      </c>
      <c r="F31" s="143"/>
      <c r="G31" s="143"/>
      <c r="H31" s="143"/>
      <c r="I31" s="145"/>
      <c r="J31" s="143"/>
      <c r="K31" s="143"/>
      <c r="L31" s="143"/>
      <c r="M31" s="143"/>
      <c r="N31" s="143"/>
      <c r="O31" s="143"/>
      <c r="P31" s="143"/>
    </row>
    <row r="32" spans="1:16" s="144" customFormat="1" ht="15.75" customHeight="1">
      <c r="A32" s="140" t="s">
        <v>298</v>
      </c>
      <c r="B32" s="141"/>
      <c r="C32" s="116" t="s">
        <v>299</v>
      </c>
      <c r="D32" s="141" t="s">
        <v>289</v>
      </c>
      <c r="E32" s="145">
        <v>2</v>
      </c>
      <c r="F32" s="143"/>
      <c r="G32" s="143"/>
      <c r="H32" s="143"/>
      <c r="I32" s="145"/>
      <c r="J32" s="143"/>
      <c r="K32" s="143"/>
      <c r="L32" s="143"/>
      <c r="M32" s="143"/>
      <c r="N32" s="143"/>
      <c r="O32" s="143"/>
      <c r="P32" s="143"/>
    </row>
    <row r="33" spans="1:16" s="144" customFormat="1" ht="15.75" customHeight="1">
      <c r="A33" s="140" t="s">
        <v>300</v>
      </c>
      <c r="B33" s="141"/>
      <c r="C33" s="116" t="s">
        <v>301</v>
      </c>
      <c r="D33" s="141" t="s">
        <v>289</v>
      </c>
      <c r="E33" s="145">
        <v>1</v>
      </c>
      <c r="F33" s="143"/>
      <c r="G33" s="143"/>
      <c r="H33" s="143"/>
      <c r="I33" s="145"/>
      <c r="J33" s="143"/>
      <c r="K33" s="143"/>
      <c r="L33" s="143"/>
      <c r="M33" s="143"/>
      <c r="N33" s="143"/>
      <c r="O33" s="143"/>
      <c r="P33" s="143"/>
    </row>
    <row r="34" spans="1:16" s="144" customFormat="1" ht="15.75" customHeight="1">
      <c r="A34" s="140" t="s">
        <v>302</v>
      </c>
      <c r="B34" s="141"/>
      <c r="C34" s="116" t="s">
        <v>303</v>
      </c>
      <c r="D34" s="141" t="s">
        <v>203</v>
      </c>
      <c r="E34" s="145">
        <v>1</v>
      </c>
      <c r="F34" s="143"/>
      <c r="G34" s="143"/>
      <c r="H34" s="143"/>
      <c r="I34" s="145"/>
      <c r="J34" s="143"/>
      <c r="K34" s="143"/>
      <c r="L34" s="143"/>
      <c r="M34" s="143"/>
      <c r="N34" s="143"/>
      <c r="O34" s="143"/>
      <c r="P34" s="143"/>
    </row>
    <row r="35" spans="1:16" s="144" customFormat="1" ht="15.75" customHeight="1">
      <c r="A35" s="140" t="s">
        <v>304</v>
      </c>
      <c r="B35" s="141"/>
      <c r="C35" s="112" t="s">
        <v>305</v>
      </c>
      <c r="D35" s="141" t="s">
        <v>306</v>
      </c>
      <c r="E35" s="145">
        <v>1</v>
      </c>
      <c r="F35" s="143"/>
      <c r="G35" s="143"/>
      <c r="H35" s="143"/>
      <c r="I35" s="145"/>
      <c r="J35" s="143"/>
      <c r="K35" s="143"/>
      <c r="L35" s="143"/>
      <c r="M35" s="143"/>
      <c r="N35" s="143"/>
      <c r="O35" s="143"/>
      <c r="P35" s="143"/>
    </row>
    <row r="36" spans="1:16" s="61" customFormat="1" ht="19.5" customHeight="1">
      <c r="A36" s="140" t="s">
        <v>307</v>
      </c>
      <c r="B36" s="87"/>
      <c r="C36" s="79" t="s">
        <v>308</v>
      </c>
      <c r="D36" s="87" t="s">
        <v>108</v>
      </c>
      <c r="E36" s="87">
        <v>1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1:16" s="144" customFormat="1" ht="12.75" customHeight="1">
      <c r="A37" s="149"/>
      <c r="B37" s="150"/>
      <c r="C37" s="132"/>
      <c r="D37" s="150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</row>
  </sheetData>
  <mergeCells count="10">
    <mergeCell ref="N8:O8"/>
    <mergeCell ref="I9:P9"/>
    <mergeCell ref="A10:H10"/>
    <mergeCell ref="A11:A12"/>
    <mergeCell ref="B11:B12"/>
    <mergeCell ref="C11:C12"/>
    <mergeCell ref="D11:D12"/>
    <mergeCell ref="E11:E12"/>
    <mergeCell ref="F11:K11"/>
    <mergeCell ref="L11:P11"/>
  </mergeCells>
  <printOptions horizontalCentered="1"/>
  <pageMargins left="0.39375" right="0.39375" top="0.9840277777777777" bottom="0.5902777777777778" header="0.5118055555555555" footer="0.19652777777777777"/>
  <pageSetup horizontalDpi="300" verticalDpi="300" orientation="landscape" paperSize="9" scale="85"/>
  <headerFooter alignWithMargins="0">
    <oddFooter>&amp;CPage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37"/>
  <sheetViews>
    <sheetView zoomScaleSheetLayoutView="140" workbookViewId="0" topLeftCell="A1">
      <selection activeCell="J8" sqref="J8"/>
    </sheetView>
  </sheetViews>
  <sheetFormatPr defaultColWidth="9.140625" defaultRowHeight="12.75"/>
  <cols>
    <col min="1" max="1" width="7.140625" style="135" customWidth="1"/>
    <col min="2" max="2" width="4.8515625" style="9" customWidth="1"/>
    <col min="3" max="3" width="33.57421875" style="9" customWidth="1"/>
    <col min="4" max="4" width="7.140625" style="9" customWidth="1"/>
    <col min="5" max="8" width="8.57421875" style="9" customWidth="1"/>
    <col min="9" max="9" width="9.421875" style="9" customWidth="1"/>
    <col min="10" max="10" width="8.57421875" style="9" customWidth="1"/>
    <col min="11" max="16" width="10.00390625" style="9" customWidth="1"/>
    <col min="17" max="16384" width="9.140625" style="9" customWidth="1"/>
  </cols>
  <sheetData>
    <row r="1" spans="1:16" ht="14.25">
      <c r="A1" s="152"/>
      <c r="B1" s="58"/>
      <c r="C1" s="58"/>
      <c r="D1" s="58"/>
      <c r="E1" s="58"/>
      <c r="F1" s="58"/>
      <c r="G1" s="58" t="s">
        <v>309</v>
      </c>
      <c r="H1" s="58"/>
      <c r="I1" s="58"/>
      <c r="J1" s="58"/>
      <c r="K1" s="58"/>
      <c r="L1" s="58"/>
      <c r="M1" s="58"/>
      <c r="N1" s="58"/>
      <c r="O1" s="58"/>
      <c r="P1" s="58"/>
    </row>
    <row r="2" spans="1:16" ht="14.25">
      <c r="A2" s="153"/>
      <c r="B2" s="154"/>
      <c r="C2" s="60"/>
      <c r="D2" s="60"/>
      <c r="E2" s="60"/>
      <c r="F2" s="60"/>
      <c r="G2" s="60" t="s">
        <v>310</v>
      </c>
      <c r="H2" s="60"/>
      <c r="I2" s="60"/>
      <c r="J2" s="60"/>
      <c r="K2" s="60"/>
      <c r="L2" s="60"/>
      <c r="M2" s="60"/>
      <c r="N2" s="60"/>
      <c r="O2" s="60"/>
      <c r="P2" s="60"/>
    </row>
    <row r="3" spans="1:16" ht="14.25">
      <c r="A3" s="7" t="s">
        <v>23</v>
      </c>
      <c r="B3" s="8"/>
      <c r="C3"/>
      <c r="D3" s="7" t="s">
        <v>24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ht="12.75" customHeight="1">
      <c r="A4" s="7" t="s">
        <v>25</v>
      </c>
      <c r="B4" s="10"/>
      <c r="C4"/>
      <c r="D4" s="32" t="s">
        <v>26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2.75" customHeight="1">
      <c r="A5" s="7" t="s">
        <v>4</v>
      </c>
      <c r="B5" s="8"/>
      <c r="C5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4" ht="12.75" customHeight="1">
      <c r="A6" s="10" t="s">
        <v>5</v>
      </c>
      <c r="B6" s="11"/>
      <c r="C6"/>
      <c r="D6" s="9" t="s">
        <v>6</v>
      </c>
    </row>
    <row r="7" spans="1:16" ht="12.75" customHeight="1">
      <c r="A7" s="7" t="s">
        <v>7</v>
      </c>
      <c r="B7" s="10"/>
      <c r="C7"/>
      <c r="D7" s="51" t="s">
        <v>8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2.75" customHeight="1">
      <c r="A8" s="7" t="s">
        <v>9</v>
      </c>
      <c r="B8" s="8"/>
      <c r="C8"/>
      <c r="D8" s="7" t="s">
        <v>10</v>
      </c>
      <c r="E8" s="10"/>
      <c r="F8" s="10"/>
      <c r="G8" s="10"/>
      <c r="H8" s="10"/>
      <c r="I8" s="61"/>
      <c r="J8" s="61"/>
      <c r="K8" s="62"/>
      <c r="L8" s="61"/>
      <c r="M8" s="61"/>
      <c r="N8" s="63"/>
      <c r="O8" s="63"/>
      <c r="P8" s="61"/>
    </row>
    <row r="9" spans="9:16" ht="12">
      <c r="I9" s="7"/>
      <c r="J9" s="7"/>
      <c r="K9" s="7"/>
      <c r="L9" s="7"/>
      <c r="M9" s="7"/>
      <c r="N9" s="7"/>
      <c r="O9" s="7"/>
      <c r="P9" s="7"/>
    </row>
    <row r="10" spans="1:8" ht="12.75" customHeight="1">
      <c r="A10" s="7"/>
      <c r="B10" s="7"/>
      <c r="C10" s="7"/>
      <c r="D10" s="7"/>
      <c r="E10" s="7"/>
      <c r="F10" s="7"/>
      <c r="G10" s="7"/>
      <c r="H10" s="7"/>
    </row>
    <row r="11" spans="1:16" ht="17.25" customHeight="1">
      <c r="A11" s="39" t="s">
        <v>56</v>
      </c>
      <c r="B11" s="65" t="s">
        <v>57</v>
      </c>
      <c r="C11" s="66" t="s">
        <v>58</v>
      </c>
      <c r="D11" s="65" t="s">
        <v>59</v>
      </c>
      <c r="E11" s="65" t="s">
        <v>60</v>
      </c>
      <c r="F11" s="66" t="s">
        <v>61</v>
      </c>
      <c r="G11" s="66"/>
      <c r="H11" s="66"/>
      <c r="I11" s="66"/>
      <c r="J11" s="66"/>
      <c r="K11" s="66"/>
      <c r="L11" s="66" t="s">
        <v>62</v>
      </c>
      <c r="M11" s="66" t="s">
        <v>62</v>
      </c>
      <c r="N11" s="66"/>
      <c r="O11" s="66"/>
      <c r="P11" s="66"/>
    </row>
    <row r="12" spans="1:16" ht="58.5" customHeight="1">
      <c r="A12" s="39"/>
      <c r="B12" s="65"/>
      <c r="C12" s="66"/>
      <c r="D12" s="65"/>
      <c r="E12" s="65"/>
      <c r="F12" s="65" t="s">
        <v>63</v>
      </c>
      <c r="G12" s="65" t="s">
        <v>64</v>
      </c>
      <c r="H12" s="65" t="s">
        <v>65</v>
      </c>
      <c r="I12" s="65" t="s">
        <v>311</v>
      </c>
      <c r="J12" s="65" t="s">
        <v>67</v>
      </c>
      <c r="K12" s="65" t="s">
        <v>312</v>
      </c>
      <c r="L12" s="65" t="s">
        <v>49</v>
      </c>
      <c r="M12" s="65" t="s">
        <v>69</v>
      </c>
      <c r="N12" s="65" t="s">
        <v>70</v>
      </c>
      <c r="O12" s="65" t="s">
        <v>67</v>
      </c>
      <c r="P12" s="65" t="s">
        <v>71</v>
      </c>
    </row>
    <row r="13" spans="1:16" s="155" customFormat="1" ht="15" customHeight="1">
      <c r="A13" s="137">
        <v>1</v>
      </c>
      <c r="B13" s="137">
        <v>2</v>
      </c>
      <c r="C13" s="137">
        <v>3</v>
      </c>
      <c r="D13" s="137">
        <v>4</v>
      </c>
      <c r="E13" s="137">
        <v>5</v>
      </c>
      <c r="F13" s="137">
        <v>6</v>
      </c>
      <c r="G13" s="137">
        <v>7</v>
      </c>
      <c r="H13" s="137">
        <v>8</v>
      </c>
      <c r="I13" s="137">
        <v>9</v>
      </c>
      <c r="J13" s="137">
        <v>10</v>
      </c>
      <c r="K13" s="137">
        <v>11</v>
      </c>
      <c r="L13" s="137">
        <v>12</v>
      </c>
      <c r="M13" s="137">
        <v>13</v>
      </c>
      <c r="N13" s="137">
        <v>14</v>
      </c>
      <c r="O13" s="137">
        <v>15</v>
      </c>
      <c r="P13" s="137">
        <v>16</v>
      </c>
    </row>
    <row r="14" spans="1:16" s="155" customFormat="1" ht="15.75" customHeight="1">
      <c r="A14" s="156"/>
      <c r="B14" s="156"/>
      <c r="C14" s="157" t="s">
        <v>313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</row>
    <row r="15" spans="1:16" s="144" customFormat="1" ht="17.25" customHeight="1">
      <c r="A15" s="140"/>
      <c r="B15" s="158"/>
      <c r="C15" s="159" t="s">
        <v>314</v>
      </c>
      <c r="D15" s="105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</row>
    <row r="16" spans="1:16" s="31" customFormat="1" ht="41.25" customHeight="1">
      <c r="A16" s="73" t="s">
        <v>315</v>
      </c>
      <c r="B16" s="148"/>
      <c r="C16" s="79" t="s">
        <v>316</v>
      </c>
      <c r="D16" s="87" t="s">
        <v>74</v>
      </c>
      <c r="E16" s="78">
        <v>20.6</v>
      </c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1:16" s="144" customFormat="1" ht="17.25" customHeight="1">
      <c r="A17" s="140" t="s">
        <v>317</v>
      </c>
      <c r="B17" s="158"/>
      <c r="C17" s="116" t="s">
        <v>318</v>
      </c>
      <c r="D17" s="105" t="s">
        <v>151</v>
      </c>
      <c r="E17" s="108">
        <f>SUM(E16*1.1)</f>
        <v>22.660000000000004</v>
      </c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</row>
    <row r="18" spans="1:16" s="144" customFormat="1" ht="17.25" customHeight="1">
      <c r="A18" s="140" t="s">
        <v>319</v>
      </c>
      <c r="B18" s="158"/>
      <c r="C18" s="116" t="s">
        <v>160</v>
      </c>
      <c r="D18" s="105" t="s">
        <v>135</v>
      </c>
      <c r="E18" s="108">
        <f>SUM(E16*0.04)*1.03</f>
        <v>0.8487200000000001</v>
      </c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</row>
    <row r="19" spans="1:16" s="11" customFormat="1" ht="18" customHeight="1">
      <c r="A19" s="140"/>
      <c r="B19" s="160"/>
      <c r="C19" s="161" t="s">
        <v>320</v>
      </c>
      <c r="D19" s="160"/>
      <c r="E19" s="41"/>
      <c r="F19" s="41"/>
      <c r="G19" s="41"/>
      <c r="H19" s="41"/>
      <c r="I19" s="41"/>
      <c r="J19" s="80"/>
      <c r="K19" s="80"/>
      <c r="L19" s="80"/>
      <c r="M19" s="80"/>
      <c r="N19" s="80"/>
      <c r="O19" s="80"/>
      <c r="P19" s="80"/>
    </row>
    <row r="20" spans="1:16" s="31" customFormat="1" ht="40.5" customHeight="1">
      <c r="A20" s="73" t="s">
        <v>321</v>
      </c>
      <c r="B20" s="148"/>
      <c r="C20" s="79" t="s">
        <v>322</v>
      </c>
      <c r="D20" s="87" t="s">
        <v>92</v>
      </c>
      <c r="E20" s="78">
        <v>5.62</v>
      </c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1:16" s="144" customFormat="1" ht="17.25" customHeight="1">
      <c r="A21" s="140" t="s">
        <v>323</v>
      </c>
      <c r="B21" s="162"/>
      <c r="C21" s="112" t="s">
        <v>324</v>
      </c>
      <c r="D21" s="113" t="s">
        <v>135</v>
      </c>
      <c r="E21" s="115">
        <f>SUM(E20*1.1)</f>
        <v>6.182</v>
      </c>
      <c r="F21" s="108"/>
      <c r="G21" s="108"/>
      <c r="H21" s="108"/>
      <c r="I21" s="115"/>
      <c r="J21" s="108"/>
      <c r="K21" s="108"/>
      <c r="L21" s="108"/>
      <c r="M21" s="108"/>
      <c r="N21" s="108"/>
      <c r="O21" s="108"/>
      <c r="P21" s="108"/>
    </row>
    <row r="22" spans="1:16" s="144" customFormat="1" ht="17.25" customHeight="1">
      <c r="A22" s="140" t="s">
        <v>325</v>
      </c>
      <c r="B22" s="162"/>
      <c r="C22" s="112" t="s">
        <v>162</v>
      </c>
      <c r="D22" s="113" t="s">
        <v>154</v>
      </c>
      <c r="E22" s="115">
        <f>SUM(E21*10.6)</f>
        <v>65.5292</v>
      </c>
      <c r="F22" s="108"/>
      <c r="G22" s="108"/>
      <c r="H22" s="108"/>
      <c r="I22" s="115"/>
      <c r="J22" s="108"/>
      <c r="K22" s="108"/>
      <c r="L22" s="108"/>
      <c r="M22" s="108"/>
      <c r="N22" s="108"/>
      <c r="O22" s="108"/>
      <c r="P22" s="108"/>
    </row>
    <row r="23" spans="1:16" s="31" customFormat="1" ht="30" customHeight="1">
      <c r="A23" s="73" t="s">
        <v>326</v>
      </c>
      <c r="B23" s="90"/>
      <c r="C23" s="110" t="s">
        <v>327</v>
      </c>
      <c r="D23" s="87" t="s">
        <v>74</v>
      </c>
      <c r="E23" s="78">
        <v>252.84</v>
      </c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1:16" s="144" customFormat="1" ht="15.75" customHeight="1">
      <c r="A24" s="140" t="s">
        <v>328</v>
      </c>
      <c r="B24" s="162"/>
      <c r="C24" s="112" t="s">
        <v>329</v>
      </c>
      <c r="D24" s="141" t="s">
        <v>135</v>
      </c>
      <c r="E24" s="145">
        <f>ROUND((E23*0.01)*1.05,2)</f>
        <v>2.65</v>
      </c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</row>
    <row r="25" spans="1:16" s="144" customFormat="1" ht="15.75" customHeight="1">
      <c r="A25" s="140" t="s">
        <v>330</v>
      </c>
      <c r="B25" s="162"/>
      <c r="C25" s="112" t="s">
        <v>162</v>
      </c>
      <c r="D25" s="141" t="s">
        <v>154</v>
      </c>
      <c r="E25" s="145">
        <v>20.45</v>
      </c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</row>
    <row r="26" spans="1:16" s="31" customFormat="1" ht="29.25" customHeight="1">
      <c r="A26" s="73" t="s">
        <v>331</v>
      </c>
      <c r="B26" s="90"/>
      <c r="C26" s="110" t="s">
        <v>332</v>
      </c>
      <c r="D26" s="87" t="s">
        <v>74</v>
      </c>
      <c r="E26" s="78">
        <v>252.84</v>
      </c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1:16" s="144" customFormat="1" ht="15.75" customHeight="1">
      <c r="A27" s="140" t="s">
        <v>333</v>
      </c>
      <c r="B27" s="162"/>
      <c r="C27" s="112" t="s">
        <v>334</v>
      </c>
      <c r="D27" s="141" t="s">
        <v>151</v>
      </c>
      <c r="E27" s="145">
        <f>E26</f>
        <v>252.84</v>
      </c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</row>
    <row r="28" spans="1:16" s="144" customFormat="1" ht="16.5" customHeight="1">
      <c r="A28" s="140" t="s">
        <v>335</v>
      </c>
      <c r="B28" s="162"/>
      <c r="C28" s="112" t="s">
        <v>162</v>
      </c>
      <c r="D28" s="141" t="s">
        <v>151</v>
      </c>
      <c r="E28" s="163">
        <f>E26</f>
        <v>252.84</v>
      </c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</row>
    <row r="29" spans="1:16" s="164" customFormat="1" ht="28.5" customHeight="1">
      <c r="A29" s="73" t="s">
        <v>336</v>
      </c>
      <c r="B29" s="87"/>
      <c r="C29" s="79" t="s">
        <v>337</v>
      </c>
      <c r="D29" s="87" t="s">
        <v>74</v>
      </c>
      <c r="E29" s="78">
        <v>252.84</v>
      </c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1:16" s="165" customFormat="1" ht="18.75" customHeight="1">
      <c r="A30" s="140" t="s">
        <v>338</v>
      </c>
      <c r="B30" s="113"/>
      <c r="C30" s="112" t="s">
        <v>339</v>
      </c>
      <c r="D30" s="113" t="s">
        <v>151</v>
      </c>
      <c r="E30" s="115">
        <f>SUM(E29*1.03)</f>
        <v>260.4252</v>
      </c>
      <c r="F30" s="108"/>
      <c r="G30" s="108"/>
      <c r="H30" s="108"/>
      <c r="I30" s="115"/>
      <c r="J30" s="108"/>
      <c r="K30" s="108"/>
      <c r="L30" s="108"/>
      <c r="M30" s="108"/>
      <c r="N30" s="108"/>
      <c r="O30" s="108"/>
      <c r="P30" s="108"/>
    </row>
    <row r="31" spans="1:16" s="164" customFormat="1" ht="15.75" customHeight="1">
      <c r="A31" s="73" t="s">
        <v>340</v>
      </c>
      <c r="B31" s="87"/>
      <c r="C31" s="79" t="s">
        <v>341</v>
      </c>
      <c r="D31" s="87" t="s">
        <v>74</v>
      </c>
      <c r="E31" s="78">
        <v>252.84</v>
      </c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1:16" s="165" customFormat="1" ht="15.75" customHeight="1">
      <c r="A32" s="140" t="s">
        <v>342</v>
      </c>
      <c r="B32" s="105"/>
      <c r="C32" s="116" t="s">
        <v>343</v>
      </c>
      <c r="D32" s="105" t="s">
        <v>151</v>
      </c>
      <c r="E32" s="108">
        <f>SUM(E31*1.1)</f>
        <v>278.124</v>
      </c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</row>
    <row r="33" spans="1:16" s="165" customFormat="1" ht="15.75" customHeight="1">
      <c r="A33" s="140" t="s">
        <v>344</v>
      </c>
      <c r="B33" s="105"/>
      <c r="C33" s="116" t="s">
        <v>345</v>
      </c>
      <c r="D33" s="105" t="s">
        <v>135</v>
      </c>
      <c r="E33" s="108">
        <f>SUM(E31*0.004)*1.05</f>
        <v>1.061928</v>
      </c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</row>
    <row r="34" spans="1:16" s="165" customFormat="1" ht="15.75" customHeight="1">
      <c r="A34" s="140" t="s">
        <v>346</v>
      </c>
      <c r="B34" s="105"/>
      <c r="C34" s="116" t="s">
        <v>162</v>
      </c>
      <c r="D34" s="105" t="s">
        <v>118</v>
      </c>
      <c r="E34" s="108">
        <v>1</v>
      </c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</row>
    <row r="35" spans="1:16" s="164" customFormat="1" ht="15.75" customHeight="1">
      <c r="A35" s="73" t="s">
        <v>347</v>
      </c>
      <c r="B35" s="87"/>
      <c r="C35" s="79" t="s">
        <v>348</v>
      </c>
      <c r="D35" s="87" t="s">
        <v>74</v>
      </c>
      <c r="E35" s="78">
        <v>252.84</v>
      </c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1:16" s="165" customFormat="1" ht="15.75" customHeight="1">
      <c r="A36" s="140" t="s">
        <v>349</v>
      </c>
      <c r="B36" s="105"/>
      <c r="C36" s="116" t="s">
        <v>350</v>
      </c>
      <c r="D36" s="105" t="s">
        <v>135</v>
      </c>
      <c r="E36" s="108">
        <f>SUM(E35*0.0133)</f>
        <v>3.362772</v>
      </c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</row>
    <row r="37" spans="1:16" s="165" customFormat="1" ht="15.75" customHeight="1">
      <c r="A37" s="140" t="s">
        <v>351</v>
      </c>
      <c r="B37" s="105"/>
      <c r="C37" s="116" t="s">
        <v>162</v>
      </c>
      <c r="D37" s="105" t="s">
        <v>154</v>
      </c>
      <c r="E37" s="108">
        <f>SUM(E35*0.09)*1.03</f>
        <v>23.438268</v>
      </c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</row>
    <row r="38" spans="1:16" s="164" customFormat="1" ht="15.75" customHeight="1">
      <c r="A38" s="73" t="s">
        <v>352</v>
      </c>
      <c r="B38" s="87"/>
      <c r="C38" s="79" t="s">
        <v>353</v>
      </c>
      <c r="D38" s="87" t="s">
        <v>74</v>
      </c>
      <c r="E38" s="78">
        <v>252.84</v>
      </c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1:16" s="165" customFormat="1" ht="27.75" customHeight="1">
      <c r="A39" s="140" t="s">
        <v>354</v>
      </c>
      <c r="B39" s="105"/>
      <c r="C39" s="116" t="s">
        <v>355</v>
      </c>
      <c r="D39" s="105" t="s">
        <v>151</v>
      </c>
      <c r="E39" s="108">
        <f>SUM(E38*1.05)</f>
        <v>265.482</v>
      </c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</row>
    <row r="40" spans="1:16" s="165" customFormat="1" ht="15.75" customHeight="1">
      <c r="A40" s="140" t="s">
        <v>356</v>
      </c>
      <c r="B40" s="105"/>
      <c r="C40" s="116" t="s">
        <v>162</v>
      </c>
      <c r="D40" s="105" t="s">
        <v>151</v>
      </c>
      <c r="E40" s="108">
        <f>SUM(E38)</f>
        <v>252.84</v>
      </c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</row>
    <row r="41" spans="1:16" s="11" customFormat="1" ht="18" customHeight="1">
      <c r="A41" s="140"/>
      <c r="B41" s="166"/>
      <c r="C41" s="167" t="s">
        <v>357</v>
      </c>
      <c r="D41" s="87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1:16" s="31" customFormat="1" ht="31.5" customHeight="1">
      <c r="A42" s="73" t="s">
        <v>358</v>
      </c>
      <c r="B42" s="90"/>
      <c r="C42" s="110" t="s">
        <v>359</v>
      </c>
      <c r="D42" s="91" t="s">
        <v>92</v>
      </c>
      <c r="E42" s="92">
        <v>4.53</v>
      </c>
      <c r="F42" s="92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1:16" s="144" customFormat="1" ht="18" customHeight="1">
      <c r="A43" s="140" t="s">
        <v>360</v>
      </c>
      <c r="B43" s="162"/>
      <c r="C43" s="112" t="s">
        <v>361</v>
      </c>
      <c r="D43" s="141" t="s">
        <v>135</v>
      </c>
      <c r="E43" s="163">
        <f>SUM(E42*1.1)</f>
        <v>4.9830000000000005</v>
      </c>
      <c r="F43" s="163"/>
      <c r="G43" s="108"/>
      <c r="H43" s="108"/>
      <c r="I43" s="163"/>
      <c r="J43" s="108"/>
      <c r="K43" s="108"/>
      <c r="L43" s="108"/>
      <c r="M43" s="108"/>
      <c r="N43" s="108"/>
      <c r="O43" s="108"/>
      <c r="P43" s="108"/>
    </row>
    <row r="44" spans="1:16" s="144" customFormat="1" ht="27.75" customHeight="1">
      <c r="A44" s="140" t="s">
        <v>362</v>
      </c>
      <c r="B44" s="162"/>
      <c r="C44" s="112" t="s">
        <v>363</v>
      </c>
      <c r="D44" s="141" t="s">
        <v>154</v>
      </c>
      <c r="E44" s="168">
        <f>SUM(E42*10.6)</f>
        <v>48.018</v>
      </c>
      <c r="F44" s="163"/>
      <c r="G44" s="108"/>
      <c r="H44" s="108"/>
      <c r="I44" s="163"/>
      <c r="J44" s="108"/>
      <c r="K44" s="108"/>
      <c r="L44" s="108"/>
      <c r="M44" s="108"/>
      <c r="N44" s="108"/>
      <c r="O44" s="108"/>
      <c r="P44" s="108"/>
    </row>
    <row r="45" spans="1:16" s="31" customFormat="1" ht="44.25" customHeight="1">
      <c r="A45" s="140" t="s">
        <v>364</v>
      </c>
      <c r="B45" s="37"/>
      <c r="C45" s="79" t="s">
        <v>365</v>
      </c>
      <c r="D45" s="37" t="s">
        <v>74</v>
      </c>
      <c r="E45" s="93">
        <v>181.4</v>
      </c>
      <c r="F45" s="93"/>
      <c r="G45" s="93"/>
      <c r="H45" s="80"/>
      <c r="I45" s="80"/>
      <c r="J45" s="80"/>
      <c r="K45" s="80"/>
      <c r="L45" s="80"/>
      <c r="M45" s="80"/>
      <c r="N45" s="80"/>
      <c r="O45" s="80"/>
      <c r="P45" s="80"/>
    </row>
    <row r="46" spans="1:16" s="144" customFormat="1" ht="15.75" customHeight="1">
      <c r="A46" s="140" t="s">
        <v>366</v>
      </c>
      <c r="B46" s="169"/>
      <c r="C46" s="116" t="s">
        <v>367</v>
      </c>
      <c r="D46" s="169" t="s">
        <v>151</v>
      </c>
      <c r="E46" s="170">
        <v>181.4</v>
      </c>
      <c r="F46" s="108"/>
      <c r="G46" s="143"/>
      <c r="H46" s="108"/>
      <c r="I46" s="171"/>
      <c r="J46" s="171"/>
      <c r="K46" s="143"/>
      <c r="L46" s="143"/>
      <c r="M46" s="143"/>
      <c r="N46" s="143"/>
      <c r="O46" s="143"/>
      <c r="P46" s="143"/>
    </row>
    <row r="47" spans="1:16" s="31" customFormat="1" ht="19.5" customHeight="1">
      <c r="A47" s="73" t="s">
        <v>368</v>
      </c>
      <c r="B47" s="148"/>
      <c r="C47" s="79" t="s">
        <v>369</v>
      </c>
      <c r="D47" s="87" t="s">
        <v>74</v>
      </c>
      <c r="E47" s="78">
        <v>181.4</v>
      </c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1:16" s="144" customFormat="1" ht="18" customHeight="1">
      <c r="A48" s="140" t="s">
        <v>370</v>
      </c>
      <c r="B48" s="158"/>
      <c r="C48" s="116" t="s">
        <v>371</v>
      </c>
      <c r="D48" s="105" t="s">
        <v>151</v>
      </c>
      <c r="E48" s="108">
        <f>SUM(E47*1.15)</f>
        <v>208.60999999999999</v>
      </c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</row>
    <row r="49" spans="1:16" s="144" customFormat="1" ht="18" customHeight="1">
      <c r="A49" s="140" t="s">
        <v>372</v>
      </c>
      <c r="B49" s="162"/>
      <c r="C49" s="112" t="s">
        <v>162</v>
      </c>
      <c r="D49" s="105" t="s">
        <v>151</v>
      </c>
      <c r="E49" s="108">
        <f>SUM(E47)</f>
        <v>181.4</v>
      </c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</row>
    <row r="50" spans="1:16" s="31" customFormat="1" ht="28.5" customHeight="1">
      <c r="A50" s="73" t="s">
        <v>373</v>
      </c>
      <c r="B50" s="90"/>
      <c r="C50" s="110" t="s">
        <v>374</v>
      </c>
      <c r="D50" s="87" t="s">
        <v>74</v>
      </c>
      <c r="E50" s="78">
        <v>181.4</v>
      </c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1:16" s="144" customFormat="1" ht="18" customHeight="1">
      <c r="A51" s="140" t="s">
        <v>375</v>
      </c>
      <c r="B51" s="162"/>
      <c r="C51" s="112" t="s">
        <v>376</v>
      </c>
      <c r="D51" s="141" t="s">
        <v>151</v>
      </c>
      <c r="E51" s="163">
        <f>SUM(E50*1.05)</f>
        <v>190.47000000000003</v>
      </c>
      <c r="F51" s="108"/>
      <c r="G51" s="108"/>
      <c r="H51" s="108"/>
      <c r="I51" s="163"/>
      <c r="J51" s="108"/>
      <c r="K51" s="108"/>
      <c r="L51" s="108"/>
      <c r="M51" s="108"/>
      <c r="N51" s="108"/>
      <c r="O51" s="108"/>
      <c r="P51" s="108"/>
    </row>
    <row r="52" spans="1:16" s="144" customFormat="1" ht="18" customHeight="1">
      <c r="A52" s="140" t="s">
        <v>377</v>
      </c>
      <c r="B52" s="162"/>
      <c r="C52" s="112" t="s">
        <v>174</v>
      </c>
      <c r="D52" s="141" t="s">
        <v>151</v>
      </c>
      <c r="E52" s="163">
        <f>SUM(E50*2)*1.05</f>
        <v>380.94000000000005</v>
      </c>
      <c r="F52" s="108"/>
      <c r="G52" s="108"/>
      <c r="H52" s="108"/>
      <c r="I52" s="163"/>
      <c r="J52" s="108"/>
      <c r="K52" s="108"/>
      <c r="L52" s="108"/>
      <c r="M52" s="108"/>
      <c r="N52" s="108"/>
      <c r="O52" s="108"/>
      <c r="P52" s="108"/>
    </row>
    <row r="53" spans="1:16" s="31" customFormat="1" ht="27.75" customHeight="1">
      <c r="A53" s="73" t="s">
        <v>378</v>
      </c>
      <c r="B53" s="90"/>
      <c r="C53" s="110" t="s">
        <v>379</v>
      </c>
      <c r="D53" s="87" t="s">
        <v>74</v>
      </c>
      <c r="E53" s="78">
        <v>181.4</v>
      </c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  <row r="54" spans="1:16" s="144" customFormat="1" ht="18" customHeight="1">
      <c r="A54" s="140" t="s">
        <v>380</v>
      </c>
      <c r="B54" s="162"/>
      <c r="C54" s="112" t="s">
        <v>381</v>
      </c>
      <c r="D54" s="141" t="s">
        <v>135</v>
      </c>
      <c r="E54" s="145">
        <f>SUM(E53*0.005)</f>
        <v>0.907</v>
      </c>
      <c r="F54" s="108"/>
      <c r="G54" s="108"/>
      <c r="H54" s="108"/>
      <c r="I54" s="163"/>
      <c r="J54" s="108"/>
      <c r="K54" s="108"/>
      <c r="L54" s="108"/>
      <c r="M54" s="108"/>
      <c r="N54" s="108"/>
      <c r="O54" s="108"/>
      <c r="P54" s="108"/>
    </row>
    <row r="55" spans="1:16" s="144" customFormat="1" ht="18" customHeight="1">
      <c r="A55" s="140" t="s">
        <v>382</v>
      </c>
      <c r="B55" s="162"/>
      <c r="C55" s="112" t="s">
        <v>162</v>
      </c>
      <c r="D55" s="141" t="s">
        <v>154</v>
      </c>
      <c r="E55" s="163">
        <v>6.4</v>
      </c>
      <c r="F55" s="108"/>
      <c r="G55" s="108"/>
      <c r="H55" s="108"/>
      <c r="I55" s="163"/>
      <c r="J55" s="108"/>
      <c r="K55" s="108"/>
      <c r="L55" s="108"/>
      <c r="M55" s="108"/>
      <c r="N55" s="108"/>
      <c r="O55" s="108"/>
      <c r="P55" s="108"/>
    </row>
    <row r="56" spans="1:16" s="31" customFormat="1" ht="18" customHeight="1">
      <c r="A56" s="73" t="s">
        <v>383</v>
      </c>
      <c r="B56" s="90"/>
      <c r="C56" s="110" t="s">
        <v>341</v>
      </c>
      <c r="D56" s="87" t="s">
        <v>74</v>
      </c>
      <c r="E56" s="78">
        <v>181.4</v>
      </c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16" s="144" customFormat="1" ht="18" customHeight="1">
      <c r="A57" s="140" t="s">
        <v>384</v>
      </c>
      <c r="B57" s="162"/>
      <c r="C57" s="112" t="s">
        <v>343</v>
      </c>
      <c r="D57" s="105" t="s">
        <v>151</v>
      </c>
      <c r="E57" s="108">
        <f>SUM(E56*1.15)</f>
        <v>208.60999999999999</v>
      </c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</row>
    <row r="58" spans="1:16" s="144" customFormat="1" ht="18" customHeight="1">
      <c r="A58" s="140" t="s">
        <v>385</v>
      </c>
      <c r="B58" s="162"/>
      <c r="C58" s="112" t="s">
        <v>386</v>
      </c>
      <c r="D58" s="141" t="s">
        <v>135</v>
      </c>
      <c r="E58" s="115">
        <v>0.5</v>
      </c>
      <c r="F58" s="108"/>
      <c r="G58" s="108"/>
      <c r="H58" s="108"/>
      <c r="I58" s="115"/>
      <c r="J58" s="108"/>
      <c r="K58" s="108"/>
      <c r="L58" s="108"/>
      <c r="M58" s="108"/>
      <c r="N58" s="108"/>
      <c r="O58" s="108"/>
      <c r="P58" s="108"/>
    </row>
    <row r="59" spans="1:16" s="144" customFormat="1" ht="18" customHeight="1">
      <c r="A59" s="140" t="s">
        <v>387</v>
      </c>
      <c r="B59" s="162"/>
      <c r="C59" s="112" t="s">
        <v>162</v>
      </c>
      <c r="D59" s="141" t="s">
        <v>151</v>
      </c>
      <c r="E59" s="172">
        <f>SUM(E56)</f>
        <v>181.4</v>
      </c>
      <c r="F59" s="108"/>
      <c r="G59" s="108"/>
      <c r="H59" s="108"/>
      <c r="I59" s="162"/>
      <c r="J59" s="108"/>
      <c r="K59" s="108"/>
      <c r="L59" s="108"/>
      <c r="M59" s="108"/>
      <c r="N59" s="108"/>
      <c r="O59" s="108"/>
      <c r="P59" s="108"/>
    </row>
    <row r="60" spans="1:16" s="31" customFormat="1" ht="30" customHeight="1">
      <c r="A60" s="73" t="s">
        <v>388</v>
      </c>
      <c r="B60" s="90"/>
      <c r="C60" s="110" t="s">
        <v>389</v>
      </c>
      <c r="D60" s="91" t="s">
        <v>74</v>
      </c>
      <c r="E60" s="78">
        <v>181.4</v>
      </c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1:16" s="144" customFormat="1" ht="18" customHeight="1">
      <c r="A61" s="140" t="s">
        <v>390</v>
      </c>
      <c r="B61" s="162"/>
      <c r="C61" s="112" t="s">
        <v>350</v>
      </c>
      <c r="D61" s="141" t="s">
        <v>135</v>
      </c>
      <c r="E61" s="173">
        <f>SUM(E60*0.005)*1.05</f>
        <v>0.95235</v>
      </c>
      <c r="F61" s="108"/>
      <c r="G61" s="108"/>
      <c r="H61" s="108"/>
      <c r="I61" s="163"/>
      <c r="J61" s="108"/>
      <c r="K61" s="108"/>
      <c r="L61" s="108"/>
      <c r="M61" s="108"/>
      <c r="N61" s="108"/>
      <c r="O61" s="108"/>
      <c r="P61" s="108"/>
    </row>
    <row r="62" spans="1:16" s="144" customFormat="1" ht="18" customHeight="1">
      <c r="A62" s="140" t="s">
        <v>391</v>
      </c>
      <c r="B62" s="162"/>
      <c r="C62" s="112" t="s">
        <v>162</v>
      </c>
      <c r="D62" s="141" t="s">
        <v>154</v>
      </c>
      <c r="E62" s="163">
        <v>9</v>
      </c>
      <c r="F62" s="108"/>
      <c r="G62" s="108"/>
      <c r="H62" s="108"/>
      <c r="I62" s="163"/>
      <c r="J62" s="108"/>
      <c r="K62" s="108"/>
      <c r="L62" s="108"/>
      <c r="M62" s="108"/>
      <c r="N62" s="108"/>
      <c r="O62" s="108"/>
      <c r="P62" s="108"/>
    </row>
    <row r="63" spans="1:16" s="144" customFormat="1" ht="18" customHeight="1">
      <c r="A63" s="73"/>
      <c r="B63" s="162"/>
      <c r="C63" s="121" t="s">
        <v>392</v>
      </c>
      <c r="D63" s="141"/>
      <c r="E63" s="163"/>
      <c r="F63" s="108"/>
      <c r="G63" s="108"/>
      <c r="H63" s="108"/>
      <c r="I63" s="163"/>
      <c r="J63" s="108"/>
      <c r="K63" s="108"/>
      <c r="L63" s="108"/>
      <c r="M63" s="108"/>
      <c r="N63" s="108"/>
      <c r="O63" s="108"/>
      <c r="P63" s="108"/>
    </row>
    <row r="64" spans="1:16" s="144" customFormat="1" ht="18" customHeight="1">
      <c r="A64" s="73"/>
      <c r="B64" s="162"/>
      <c r="C64" s="125" t="s">
        <v>393</v>
      </c>
      <c r="D64" s="141"/>
      <c r="E64" s="162"/>
      <c r="F64" s="108"/>
      <c r="G64" s="108"/>
      <c r="H64" s="108"/>
      <c r="I64" s="162"/>
      <c r="J64" s="143"/>
      <c r="K64" s="143"/>
      <c r="L64" s="143"/>
      <c r="M64" s="143"/>
      <c r="N64" s="143"/>
      <c r="O64" s="143"/>
      <c r="P64" s="143"/>
    </row>
    <row r="65" spans="1:16" s="31" customFormat="1" ht="27" customHeight="1">
      <c r="A65" s="73" t="s">
        <v>394</v>
      </c>
      <c r="B65" s="90"/>
      <c r="C65" s="110" t="s">
        <v>395</v>
      </c>
      <c r="D65" s="91" t="s">
        <v>74</v>
      </c>
      <c r="E65" s="78">
        <v>84</v>
      </c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1:16" s="144" customFormat="1" ht="15" customHeight="1">
      <c r="A66" s="140" t="s">
        <v>396</v>
      </c>
      <c r="B66" s="162"/>
      <c r="C66" s="112" t="s">
        <v>397</v>
      </c>
      <c r="D66" s="141" t="s">
        <v>77</v>
      </c>
      <c r="E66" s="115">
        <v>102</v>
      </c>
      <c r="F66" s="108"/>
      <c r="G66" s="108"/>
      <c r="H66" s="108"/>
      <c r="I66" s="115"/>
      <c r="J66" s="108"/>
      <c r="K66" s="108"/>
      <c r="L66" s="108"/>
      <c r="M66" s="108"/>
      <c r="N66" s="108"/>
      <c r="O66" s="108"/>
      <c r="P66" s="108"/>
    </row>
    <row r="67" spans="1:16" s="144" customFormat="1" ht="15" customHeight="1">
      <c r="A67" s="140" t="s">
        <v>398</v>
      </c>
      <c r="B67" s="162"/>
      <c r="C67" s="112" t="s">
        <v>399</v>
      </c>
      <c r="D67" s="141" t="s">
        <v>77</v>
      </c>
      <c r="E67" s="115">
        <v>212</v>
      </c>
      <c r="F67" s="108"/>
      <c r="G67" s="108"/>
      <c r="H67" s="108"/>
      <c r="I67" s="163"/>
      <c r="J67" s="108"/>
      <c r="K67" s="108"/>
      <c r="L67" s="108"/>
      <c r="M67" s="108"/>
      <c r="N67" s="108"/>
      <c r="O67" s="108"/>
      <c r="P67" s="108"/>
    </row>
    <row r="68" spans="1:16" s="144" customFormat="1" ht="18" customHeight="1">
      <c r="A68" s="140" t="s">
        <v>400</v>
      </c>
      <c r="B68" s="162"/>
      <c r="C68" s="112" t="s">
        <v>401</v>
      </c>
      <c r="D68" s="141" t="s">
        <v>77</v>
      </c>
      <c r="E68" s="115">
        <v>102</v>
      </c>
      <c r="F68" s="108"/>
      <c r="G68" s="108"/>
      <c r="H68" s="108"/>
      <c r="I68" s="115"/>
      <c r="J68" s="108"/>
      <c r="K68" s="108"/>
      <c r="L68" s="108"/>
      <c r="M68" s="108"/>
      <c r="N68" s="108"/>
      <c r="O68" s="108"/>
      <c r="P68" s="108"/>
    </row>
    <row r="69" spans="1:16" s="144" customFormat="1" ht="18" customHeight="1">
      <c r="A69" s="140" t="s">
        <v>402</v>
      </c>
      <c r="B69" s="162"/>
      <c r="C69" s="112" t="s">
        <v>403</v>
      </c>
      <c r="D69" s="141" t="s">
        <v>203</v>
      </c>
      <c r="E69" s="173">
        <v>340</v>
      </c>
      <c r="F69" s="108"/>
      <c r="G69" s="108"/>
      <c r="H69" s="108"/>
      <c r="I69" s="163"/>
      <c r="J69" s="108"/>
      <c r="K69" s="108"/>
      <c r="L69" s="108"/>
      <c r="M69" s="108"/>
      <c r="N69" s="108"/>
      <c r="O69" s="108"/>
      <c r="P69" s="108"/>
    </row>
    <row r="70" spans="1:16" s="144" customFormat="1" ht="18" customHeight="1">
      <c r="A70" s="140" t="s">
        <v>404</v>
      </c>
      <c r="B70" s="162"/>
      <c r="C70" s="112" t="s">
        <v>405</v>
      </c>
      <c r="D70" s="141" t="s">
        <v>151</v>
      </c>
      <c r="E70" s="173">
        <f>SUM(E65*2)*1.1</f>
        <v>184.8</v>
      </c>
      <c r="F70" s="108"/>
      <c r="G70" s="108"/>
      <c r="H70" s="108"/>
      <c r="I70" s="163"/>
      <c r="J70" s="108"/>
      <c r="K70" s="108"/>
      <c r="L70" s="108"/>
      <c r="M70" s="108"/>
      <c r="N70" s="108"/>
      <c r="O70" s="108"/>
      <c r="P70" s="108"/>
    </row>
    <row r="71" spans="1:16" s="144" customFormat="1" ht="18" customHeight="1">
      <c r="A71" s="140" t="s">
        <v>406</v>
      </c>
      <c r="B71" s="162"/>
      <c r="C71" s="112" t="s">
        <v>162</v>
      </c>
      <c r="D71" s="141" t="s">
        <v>151</v>
      </c>
      <c r="E71" s="172">
        <f>SUM(E65)</f>
        <v>84</v>
      </c>
      <c r="F71" s="108"/>
      <c r="G71" s="108"/>
      <c r="H71" s="108"/>
      <c r="I71" s="163"/>
      <c r="J71" s="108"/>
      <c r="K71" s="108"/>
      <c r="L71" s="108"/>
      <c r="M71" s="108"/>
      <c r="N71" s="108"/>
      <c r="O71" s="108"/>
      <c r="P71" s="108"/>
    </row>
    <row r="72" spans="1:16" s="31" customFormat="1" ht="17.25" customHeight="1">
      <c r="A72" s="73"/>
      <c r="B72" s="90"/>
      <c r="C72" s="167" t="s">
        <v>407</v>
      </c>
      <c r="D72" s="91"/>
      <c r="E72" s="91"/>
      <c r="F72" s="174"/>
      <c r="G72" s="174"/>
      <c r="H72" s="175"/>
      <c r="I72" s="92"/>
      <c r="J72" s="80"/>
      <c r="K72" s="80"/>
      <c r="L72" s="80"/>
      <c r="M72" s="80"/>
      <c r="N72" s="80"/>
      <c r="O72" s="80"/>
      <c r="P72" s="80"/>
    </row>
    <row r="73" spans="1:16" s="31" customFormat="1" ht="29.25" customHeight="1">
      <c r="A73" s="73" t="s">
        <v>408</v>
      </c>
      <c r="B73" s="90"/>
      <c r="C73" s="110" t="s">
        <v>409</v>
      </c>
      <c r="D73" s="91" t="s">
        <v>74</v>
      </c>
      <c r="E73" s="78">
        <v>19.17</v>
      </c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1:16" s="144" customFormat="1" ht="18" customHeight="1">
      <c r="A74" s="140" t="s">
        <v>410</v>
      </c>
      <c r="B74" s="162"/>
      <c r="C74" s="112" t="s">
        <v>411</v>
      </c>
      <c r="D74" s="141" t="s">
        <v>412</v>
      </c>
      <c r="E74" s="115">
        <v>27</v>
      </c>
      <c r="F74" s="108"/>
      <c r="G74" s="108"/>
      <c r="H74" s="108"/>
      <c r="I74" s="115"/>
      <c r="J74" s="108"/>
      <c r="K74" s="108"/>
      <c r="L74" s="108"/>
      <c r="M74" s="108"/>
      <c r="N74" s="108"/>
      <c r="O74" s="108"/>
      <c r="P74" s="108"/>
    </row>
    <row r="75" spans="1:16" s="144" customFormat="1" ht="18" customHeight="1">
      <c r="A75" s="140" t="s">
        <v>413</v>
      </c>
      <c r="B75" s="162"/>
      <c r="C75" s="112" t="s">
        <v>414</v>
      </c>
      <c r="D75" s="141" t="s">
        <v>412</v>
      </c>
      <c r="E75" s="115">
        <v>51</v>
      </c>
      <c r="F75" s="108"/>
      <c r="G75" s="108"/>
      <c r="H75" s="108"/>
      <c r="I75" s="115"/>
      <c r="J75" s="108"/>
      <c r="K75" s="108"/>
      <c r="L75" s="108"/>
      <c r="M75" s="108"/>
      <c r="N75" s="108"/>
      <c r="O75" s="108"/>
      <c r="P75" s="108"/>
    </row>
    <row r="76" spans="1:16" s="144" customFormat="1" ht="18" customHeight="1">
      <c r="A76" s="140" t="s">
        <v>415</v>
      </c>
      <c r="B76" s="162"/>
      <c r="C76" s="112" t="s">
        <v>401</v>
      </c>
      <c r="D76" s="141" t="s">
        <v>77</v>
      </c>
      <c r="E76" s="115">
        <v>30</v>
      </c>
      <c r="F76" s="108"/>
      <c r="G76" s="108"/>
      <c r="H76" s="108"/>
      <c r="I76" s="115"/>
      <c r="J76" s="108"/>
      <c r="K76" s="108"/>
      <c r="L76" s="108"/>
      <c r="M76" s="108"/>
      <c r="N76" s="108"/>
      <c r="O76" s="108"/>
      <c r="P76" s="108"/>
    </row>
    <row r="77" spans="1:16" s="144" customFormat="1" ht="18" customHeight="1">
      <c r="A77" s="140" t="s">
        <v>416</v>
      </c>
      <c r="B77" s="162"/>
      <c r="C77" s="112" t="s">
        <v>417</v>
      </c>
      <c r="D77" s="141" t="s">
        <v>151</v>
      </c>
      <c r="E77" s="115">
        <f>SUM(E73*1.04)</f>
        <v>19.9368</v>
      </c>
      <c r="F77" s="108"/>
      <c r="G77" s="108"/>
      <c r="H77" s="108"/>
      <c r="I77" s="115"/>
      <c r="J77" s="108"/>
      <c r="K77" s="108"/>
      <c r="L77" s="108"/>
      <c r="M77" s="108"/>
      <c r="N77" s="108"/>
      <c r="O77" s="108"/>
      <c r="P77" s="108"/>
    </row>
    <row r="78" spans="1:16" s="144" customFormat="1" ht="18" customHeight="1">
      <c r="A78" s="140" t="s">
        <v>418</v>
      </c>
      <c r="B78" s="162"/>
      <c r="C78" s="112" t="s">
        <v>419</v>
      </c>
      <c r="D78" s="141" t="s">
        <v>151</v>
      </c>
      <c r="E78" s="173">
        <f>SUM(E73*4.4)</f>
        <v>84.34800000000001</v>
      </c>
      <c r="F78" s="108"/>
      <c r="G78" s="108"/>
      <c r="H78" s="108"/>
      <c r="I78" s="163"/>
      <c r="J78" s="108"/>
      <c r="K78" s="108"/>
      <c r="L78" s="108"/>
      <c r="M78" s="108"/>
      <c r="N78" s="108"/>
      <c r="O78" s="108"/>
      <c r="P78" s="108"/>
    </row>
    <row r="79" spans="1:16" s="144" customFormat="1" ht="18" customHeight="1">
      <c r="A79" s="140" t="s">
        <v>420</v>
      </c>
      <c r="B79" s="162"/>
      <c r="C79" s="112" t="s">
        <v>162</v>
      </c>
      <c r="D79" s="141" t="s">
        <v>151</v>
      </c>
      <c r="E79" s="173">
        <f>E73</f>
        <v>19.17</v>
      </c>
      <c r="F79" s="108"/>
      <c r="G79" s="108"/>
      <c r="H79" s="108"/>
      <c r="I79" s="163"/>
      <c r="J79" s="108"/>
      <c r="K79" s="108"/>
      <c r="L79" s="108"/>
      <c r="M79" s="108"/>
      <c r="N79" s="108"/>
      <c r="O79" s="108"/>
      <c r="P79" s="108"/>
    </row>
    <row r="80" spans="1:16" s="144" customFormat="1" ht="18" customHeight="1">
      <c r="A80" s="73"/>
      <c r="B80" s="162"/>
      <c r="C80" s="125" t="s">
        <v>421</v>
      </c>
      <c r="D80" s="141"/>
      <c r="E80" s="173"/>
      <c r="F80" s="108"/>
      <c r="G80" s="108"/>
      <c r="H80" s="108"/>
      <c r="I80" s="162"/>
      <c r="J80" s="129"/>
      <c r="K80" s="129"/>
      <c r="L80" s="129"/>
      <c r="M80" s="129"/>
      <c r="N80" s="129"/>
      <c r="O80" s="129"/>
      <c r="P80" s="129"/>
    </row>
    <row r="81" spans="1:16" s="31" customFormat="1" ht="30" customHeight="1">
      <c r="A81" s="73" t="s">
        <v>422</v>
      </c>
      <c r="B81" s="90"/>
      <c r="C81" s="110" t="s">
        <v>423</v>
      </c>
      <c r="D81" s="91" t="s">
        <v>74</v>
      </c>
      <c r="E81" s="78">
        <v>147.29</v>
      </c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</row>
    <row r="82" spans="1:16" s="144" customFormat="1" ht="18" customHeight="1">
      <c r="A82" s="140" t="s">
        <v>424</v>
      </c>
      <c r="B82" s="162"/>
      <c r="C82" s="112" t="s">
        <v>361</v>
      </c>
      <c r="D82" s="141" t="s">
        <v>135</v>
      </c>
      <c r="E82" s="173">
        <f>SUM(E81*0.02)</f>
        <v>2.9457999999999998</v>
      </c>
      <c r="F82" s="108"/>
      <c r="G82" s="108"/>
      <c r="H82" s="108"/>
      <c r="I82" s="163"/>
      <c r="J82" s="108"/>
      <c r="K82" s="108"/>
      <c r="L82" s="108"/>
      <c r="M82" s="108"/>
      <c r="N82" s="108"/>
      <c r="O82" s="108"/>
      <c r="P82" s="108"/>
    </row>
    <row r="83" spans="1:16" s="144" customFormat="1" ht="18" customHeight="1">
      <c r="A83" s="140" t="s">
        <v>425</v>
      </c>
      <c r="B83" s="162"/>
      <c r="C83" s="112" t="s">
        <v>426</v>
      </c>
      <c r="D83" s="141" t="s">
        <v>151</v>
      </c>
      <c r="E83" s="173">
        <f>SUM(E81*1.03)</f>
        <v>151.7087</v>
      </c>
      <c r="F83" s="108"/>
      <c r="G83" s="108"/>
      <c r="H83" s="108"/>
      <c r="I83" s="163"/>
      <c r="J83" s="108"/>
      <c r="K83" s="108"/>
      <c r="L83" s="108"/>
      <c r="M83" s="108"/>
      <c r="N83" s="108"/>
      <c r="O83" s="108"/>
      <c r="P83" s="108"/>
    </row>
    <row r="84" spans="1:16" s="144" customFormat="1" ht="18" customHeight="1">
      <c r="A84" s="140" t="s">
        <v>427</v>
      </c>
      <c r="B84" s="162"/>
      <c r="C84" s="112" t="s">
        <v>419</v>
      </c>
      <c r="D84" s="141" t="s">
        <v>151</v>
      </c>
      <c r="E84" s="173">
        <f>SUM(E81*4.4)</f>
        <v>648.076</v>
      </c>
      <c r="F84" s="108"/>
      <c r="G84" s="108"/>
      <c r="H84" s="108"/>
      <c r="I84" s="163"/>
      <c r="J84" s="108"/>
      <c r="K84" s="108"/>
      <c r="L84" s="108"/>
      <c r="M84" s="108"/>
      <c r="N84" s="108"/>
      <c r="O84" s="108"/>
      <c r="P84" s="108"/>
    </row>
    <row r="85" spans="1:16" s="144" customFormat="1" ht="18" customHeight="1">
      <c r="A85" s="140" t="s">
        <v>428</v>
      </c>
      <c r="B85" s="162"/>
      <c r="C85" s="112" t="s">
        <v>162</v>
      </c>
      <c r="D85" s="141" t="s">
        <v>151</v>
      </c>
      <c r="E85" s="173">
        <f>SUM(E81)</f>
        <v>147.29</v>
      </c>
      <c r="F85" s="108"/>
      <c r="G85" s="108"/>
      <c r="H85" s="108"/>
      <c r="I85" s="163"/>
      <c r="J85" s="108"/>
      <c r="K85" s="108"/>
      <c r="L85" s="108"/>
      <c r="M85" s="108"/>
      <c r="N85" s="108"/>
      <c r="O85" s="108"/>
      <c r="P85" s="108"/>
    </row>
    <row r="86" spans="1:16" s="144" customFormat="1" ht="18" customHeight="1">
      <c r="A86" s="73"/>
      <c r="B86" s="162"/>
      <c r="C86" s="125" t="s">
        <v>429</v>
      </c>
      <c r="D86" s="141"/>
      <c r="E86" s="163"/>
      <c r="F86" s="108"/>
      <c r="G86" s="108"/>
      <c r="H86" s="108"/>
      <c r="I86" s="162"/>
      <c r="J86" s="108"/>
      <c r="K86" s="108"/>
      <c r="L86" s="108"/>
      <c r="M86" s="108"/>
      <c r="N86" s="108"/>
      <c r="O86" s="108"/>
      <c r="P86" s="108"/>
    </row>
    <row r="87" spans="1:16" s="31" customFormat="1" ht="33" customHeight="1">
      <c r="A87" s="73" t="s">
        <v>430</v>
      </c>
      <c r="B87" s="90"/>
      <c r="C87" s="110" t="s">
        <v>431</v>
      </c>
      <c r="D87" s="91" t="s">
        <v>74</v>
      </c>
      <c r="E87" s="78">
        <v>161.5</v>
      </c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</row>
    <row r="88" spans="1:16" s="144" customFormat="1" ht="18" customHeight="1">
      <c r="A88" s="140" t="s">
        <v>432</v>
      </c>
      <c r="B88" s="162"/>
      <c r="C88" s="112" t="s">
        <v>433</v>
      </c>
      <c r="D88" s="141" t="s">
        <v>151</v>
      </c>
      <c r="E88" s="173">
        <f>SUM(E87*1.05)</f>
        <v>169.57500000000002</v>
      </c>
      <c r="F88" s="108"/>
      <c r="G88" s="108"/>
      <c r="H88" s="108"/>
      <c r="I88" s="163"/>
      <c r="J88" s="108"/>
      <c r="K88" s="108"/>
      <c r="L88" s="108"/>
      <c r="M88" s="108"/>
      <c r="N88" s="108"/>
      <c r="O88" s="108"/>
      <c r="P88" s="108"/>
    </row>
    <row r="89" spans="1:16" s="144" customFormat="1" ht="18" customHeight="1">
      <c r="A89" s="140"/>
      <c r="B89" s="162"/>
      <c r="C89" s="121" t="s">
        <v>434</v>
      </c>
      <c r="D89" s="141"/>
      <c r="E89" s="173"/>
      <c r="F89" s="78"/>
      <c r="G89" s="78"/>
      <c r="H89" s="78"/>
      <c r="I89" s="163"/>
      <c r="J89" s="108"/>
      <c r="K89" s="108"/>
      <c r="L89" s="108"/>
      <c r="M89" s="108"/>
      <c r="N89" s="108"/>
      <c r="O89" s="108"/>
      <c r="P89" s="108"/>
    </row>
    <row r="90" spans="1:16" s="31" customFormat="1" ht="19.5" customHeight="1">
      <c r="A90" s="73" t="s">
        <v>435</v>
      </c>
      <c r="B90" s="37"/>
      <c r="C90" s="79" t="s">
        <v>436</v>
      </c>
      <c r="D90" s="37" t="s">
        <v>92</v>
      </c>
      <c r="E90" s="93">
        <v>12.85</v>
      </c>
      <c r="F90" s="93"/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1:16" s="144" customFormat="1" ht="15.75" customHeight="1">
      <c r="A91" s="140" t="s">
        <v>437</v>
      </c>
      <c r="B91" s="169"/>
      <c r="C91" s="116" t="s">
        <v>361</v>
      </c>
      <c r="D91" s="169" t="s">
        <v>135</v>
      </c>
      <c r="E91" s="170">
        <f>SUM(E90*1.1)</f>
        <v>14.135000000000002</v>
      </c>
      <c r="F91" s="163"/>
      <c r="G91" s="108"/>
      <c r="H91" s="108"/>
      <c r="I91" s="143"/>
      <c r="J91" s="108"/>
      <c r="K91" s="108"/>
      <c r="L91" s="108"/>
      <c r="M91" s="108"/>
      <c r="N91" s="108"/>
      <c r="O91" s="108"/>
      <c r="P91" s="108"/>
    </row>
    <row r="92" spans="1:16" s="144" customFormat="1" ht="29.25" customHeight="1">
      <c r="A92" s="140" t="s">
        <v>438</v>
      </c>
      <c r="B92" s="162"/>
      <c r="C92" s="112" t="s">
        <v>363</v>
      </c>
      <c r="D92" s="141" t="s">
        <v>154</v>
      </c>
      <c r="E92" s="163">
        <f>SUM(E90*15)</f>
        <v>192.75</v>
      </c>
      <c r="F92" s="163"/>
      <c r="G92" s="108"/>
      <c r="H92" s="108"/>
      <c r="I92" s="163"/>
      <c r="J92" s="108"/>
      <c r="K92" s="108"/>
      <c r="L92" s="108"/>
      <c r="M92" s="108"/>
      <c r="N92" s="108"/>
      <c r="O92" s="108"/>
      <c r="P92" s="108"/>
    </row>
    <row r="93" spans="1:16" s="31" customFormat="1" ht="16.5" customHeight="1">
      <c r="A93" s="73" t="s">
        <v>439</v>
      </c>
      <c r="B93" s="37"/>
      <c r="C93" s="79" t="s">
        <v>440</v>
      </c>
      <c r="D93" s="37" t="s">
        <v>167</v>
      </c>
      <c r="E93" s="93">
        <v>338.5</v>
      </c>
      <c r="F93" s="93"/>
      <c r="G93" s="93"/>
      <c r="H93" s="80"/>
      <c r="I93" s="80"/>
      <c r="J93" s="80"/>
      <c r="K93" s="80"/>
      <c r="L93" s="80"/>
      <c r="M93" s="80"/>
      <c r="N93" s="80"/>
      <c r="O93" s="80"/>
      <c r="P93" s="80"/>
    </row>
    <row r="94" spans="1:16" s="144" customFormat="1" ht="12.75" customHeight="1">
      <c r="A94" s="140" t="s">
        <v>441</v>
      </c>
      <c r="B94" s="169"/>
      <c r="C94" s="116" t="s">
        <v>442</v>
      </c>
      <c r="D94" s="169" t="s">
        <v>167</v>
      </c>
      <c r="E94" s="170">
        <f>SUM(E93*1.15)</f>
        <v>389.275</v>
      </c>
      <c r="F94" s="115"/>
      <c r="G94" s="143"/>
      <c r="H94" s="115"/>
      <c r="I94" s="143"/>
      <c r="J94" s="143"/>
      <c r="K94" s="143"/>
      <c r="L94" s="143"/>
      <c r="M94" s="143"/>
      <c r="N94" s="143"/>
      <c r="O94" s="143"/>
      <c r="P94" s="143"/>
    </row>
    <row r="95" spans="1:16" s="144" customFormat="1" ht="15.75" customHeight="1">
      <c r="A95" s="140" t="s">
        <v>443</v>
      </c>
      <c r="B95" s="169"/>
      <c r="C95" s="116" t="s">
        <v>444</v>
      </c>
      <c r="D95" s="169" t="s">
        <v>445</v>
      </c>
      <c r="E95" s="170">
        <f>SUM(E93*0.003)</f>
        <v>1.0155</v>
      </c>
      <c r="F95" s="115"/>
      <c r="G95" s="143"/>
      <c r="H95" s="115"/>
      <c r="I95" s="143"/>
      <c r="J95" s="143"/>
      <c r="K95" s="143"/>
      <c r="L95" s="143"/>
      <c r="M95" s="143"/>
      <c r="N95" s="143"/>
      <c r="O95" s="143"/>
      <c r="P95" s="143"/>
    </row>
    <row r="96" spans="1:16" s="144" customFormat="1" ht="12.75" customHeight="1">
      <c r="A96" s="140" t="s">
        <v>446</v>
      </c>
      <c r="B96" s="169"/>
      <c r="C96" s="116" t="s">
        <v>447</v>
      </c>
      <c r="D96" s="169" t="s">
        <v>445</v>
      </c>
      <c r="E96" s="170">
        <f>SUM(E93*0.01)</f>
        <v>3.3850000000000002</v>
      </c>
      <c r="F96" s="115"/>
      <c r="G96" s="143"/>
      <c r="H96" s="115"/>
      <c r="I96" s="143"/>
      <c r="J96" s="143"/>
      <c r="K96" s="143"/>
      <c r="L96" s="143"/>
      <c r="M96" s="143"/>
      <c r="N96" s="143"/>
      <c r="O96" s="143"/>
      <c r="P96" s="143"/>
    </row>
    <row r="97" spans="1:16" s="144" customFormat="1" ht="30.75" customHeight="1">
      <c r="A97" s="140" t="s">
        <v>448</v>
      </c>
      <c r="B97" s="169"/>
      <c r="C97" s="116" t="s">
        <v>449</v>
      </c>
      <c r="D97" s="169" t="s">
        <v>167</v>
      </c>
      <c r="E97" s="170">
        <f>SUM(E93*1.15)</f>
        <v>389.275</v>
      </c>
      <c r="F97" s="115"/>
      <c r="G97" s="143"/>
      <c r="H97" s="115"/>
      <c r="I97" s="143"/>
      <c r="J97" s="143"/>
      <c r="K97" s="143"/>
      <c r="L97" s="143"/>
      <c r="M97" s="143"/>
      <c r="N97" s="143"/>
      <c r="O97" s="143"/>
      <c r="P97" s="143"/>
    </row>
    <row r="98" spans="1:16" s="144" customFormat="1" ht="27" customHeight="1">
      <c r="A98" s="140" t="s">
        <v>450</v>
      </c>
      <c r="B98" s="169"/>
      <c r="C98" s="116" t="s">
        <v>451</v>
      </c>
      <c r="D98" s="169" t="s">
        <v>167</v>
      </c>
      <c r="E98" s="170">
        <f>E93</f>
        <v>338.5</v>
      </c>
      <c r="F98" s="115"/>
      <c r="G98" s="143"/>
      <c r="H98" s="115"/>
      <c r="I98" s="143"/>
      <c r="J98" s="143"/>
      <c r="K98" s="143"/>
      <c r="L98" s="143"/>
      <c r="M98" s="143"/>
      <c r="N98" s="143"/>
      <c r="O98" s="143"/>
      <c r="P98" s="143"/>
    </row>
    <row r="99" spans="1:16" s="31" customFormat="1" ht="29.25" customHeight="1">
      <c r="A99" s="73" t="s">
        <v>452</v>
      </c>
      <c r="B99" s="37"/>
      <c r="C99" s="79" t="s">
        <v>453</v>
      </c>
      <c r="D99" s="37" t="s">
        <v>74</v>
      </c>
      <c r="E99" s="93">
        <v>49</v>
      </c>
      <c r="F99" s="93"/>
      <c r="G99" s="93"/>
      <c r="H99" s="80"/>
      <c r="I99" s="80"/>
      <c r="J99" s="80"/>
      <c r="K99" s="80"/>
      <c r="L99" s="80"/>
      <c r="M99" s="80"/>
      <c r="N99" s="80"/>
      <c r="O99" s="80"/>
      <c r="P99" s="80"/>
    </row>
    <row r="100" spans="1:16" s="144" customFormat="1" ht="16.5" customHeight="1">
      <c r="A100" s="140" t="s">
        <v>454</v>
      </c>
      <c r="B100" s="169"/>
      <c r="C100" s="116" t="s">
        <v>455</v>
      </c>
      <c r="D100" s="169" t="s">
        <v>77</v>
      </c>
      <c r="E100" s="170">
        <v>70</v>
      </c>
      <c r="F100" s="115"/>
      <c r="G100" s="143"/>
      <c r="H100" s="115"/>
      <c r="I100" s="143"/>
      <c r="J100" s="143"/>
      <c r="K100" s="143"/>
      <c r="L100" s="143"/>
      <c r="M100" s="143"/>
      <c r="N100" s="143"/>
      <c r="O100" s="143"/>
      <c r="P100" s="143"/>
    </row>
    <row r="101" spans="1:16" s="144" customFormat="1" ht="16.5" customHeight="1">
      <c r="A101" s="140" t="s">
        <v>456</v>
      </c>
      <c r="B101" s="169"/>
      <c r="C101" s="116" t="s">
        <v>457</v>
      </c>
      <c r="D101" s="169" t="s">
        <v>135</v>
      </c>
      <c r="E101" s="170">
        <v>0.35</v>
      </c>
      <c r="F101" s="115"/>
      <c r="G101" s="143"/>
      <c r="H101" s="115"/>
      <c r="I101" s="143"/>
      <c r="J101" s="143"/>
      <c r="K101" s="143"/>
      <c r="L101" s="143"/>
      <c r="M101" s="143"/>
      <c r="N101" s="143"/>
      <c r="O101" s="143"/>
      <c r="P101" s="143"/>
    </row>
    <row r="102" spans="1:16" s="144" customFormat="1" ht="15" customHeight="1">
      <c r="A102" s="140" t="s">
        <v>458</v>
      </c>
      <c r="B102" s="169"/>
      <c r="C102" s="116" t="s">
        <v>459</v>
      </c>
      <c r="D102" s="169" t="s">
        <v>151</v>
      </c>
      <c r="E102" s="170">
        <f>SUM(E99*1.2)</f>
        <v>58.8</v>
      </c>
      <c r="F102" s="115"/>
      <c r="G102" s="143"/>
      <c r="H102" s="115"/>
      <c r="I102" s="143"/>
      <c r="J102" s="143"/>
      <c r="K102" s="143"/>
      <c r="L102" s="143"/>
      <c r="M102" s="143"/>
      <c r="N102" s="143"/>
      <c r="O102" s="143"/>
      <c r="P102" s="143"/>
    </row>
    <row r="103" spans="1:16" s="144" customFormat="1" ht="15" customHeight="1">
      <c r="A103" s="140" t="s">
        <v>460</v>
      </c>
      <c r="B103" s="169"/>
      <c r="C103" s="116" t="s">
        <v>162</v>
      </c>
      <c r="D103" s="169" t="s">
        <v>151</v>
      </c>
      <c r="E103" s="170">
        <f>SUM(E99)</f>
        <v>49</v>
      </c>
      <c r="F103" s="115"/>
      <c r="G103" s="143"/>
      <c r="H103" s="115"/>
      <c r="I103" s="143"/>
      <c r="J103" s="143"/>
      <c r="K103" s="143"/>
      <c r="L103" s="143"/>
      <c r="M103" s="143"/>
      <c r="N103" s="143"/>
      <c r="O103" s="143"/>
      <c r="P103" s="143"/>
    </row>
    <row r="104" spans="1:16" s="144" customFormat="1" ht="18.75" customHeight="1">
      <c r="A104" s="140"/>
      <c r="B104" s="169"/>
      <c r="C104" s="139" t="s">
        <v>461</v>
      </c>
      <c r="D104" s="169"/>
      <c r="E104" s="170"/>
      <c r="F104" s="170"/>
      <c r="G104" s="170"/>
      <c r="H104" s="143"/>
      <c r="I104" s="143"/>
      <c r="J104" s="143"/>
      <c r="K104" s="143"/>
      <c r="L104" s="143"/>
      <c r="M104" s="143"/>
      <c r="N104" s="143"/>
      <c r="O104" s="143"/>
      <c r="P104" s="143"/>
    </row>
    <row r="105" spans="1:16" s="61" customFormat="1" ht="28.5" customHeight="1">
      <c r="A105" s="73" t="s">
        <v>462</v>
      </c>
      <c r="B105" s="176"/>
      <c r="C105" s="177" t="s">
        <v>463</v>
      </c>
      <c r="D105" s="71" t="s">
        <v>77</v>
      </c>
      <c r="E105" s="72">
        <v>44</v>
      </c>
      <c r="F105" s="111"/>
      <c r="G105" s="80"/>
      <c r="H105" s="111"/>
      <c r="I105" s="78"/>
      <c r="J105" s="80"/>
      <c r="K105" s="111"/>
      <c r="L105" s="111"/>
      <c r="M105" s="111"/>
      <c r="N105" s="111"/>
      <c r="O105" s="111"/>
      <c r="P105" s="111"/>
    </row>
    <row r="106" spans="1:16" s="61" customFormat="1" ht="24">
      <c r="A106" s="73" t="s">
        <v>464</v>
      </c>
      <c r="B106" s="176"/>
      <c r="C106" s="177" t="s">
        <v>465</v>
      </c>
      <c r="D106" s="71" t="s">
        <v>77</v>
      </c>
      <c r="E106" s="72">
        <v>44</v>
      </c>
      <c r="F106" s="111"/>
      <c r="G106" s="80"/>
      <c r="H106" s="111"/>
      <c r="I106" s="78"/>
      <c r="J106" s="80"/>
      <c r="K106" s="111"/>
      <c r="L106" s="111"/>
      <c r="M106" s="111"/>
      <c r="N106" s="111"/>
      <c r="O106" s="111"/>
      <c r="P106" s="111"/>
    </row>
    <row r="107" spans="1:16" s="61" customFormat="1" ht="18" customHeight="1">
      <c r="A107" s="73" t="s">
        <v>466</v>
      </c>
      <c r="B107" s="178"/>
      <c r="C107" s="89" t="s">
        <v>467</v>
      </c>
      <c r="D107" s="71" t="s">
        <v>306</v>
      </c>
      <c r="E107" s="72">
        <v>3</v>
      </c>
      <c r="F107" s="111"/>
      <c r="G107" s="80"/>
      <c r="H107" s="111"/>
      <c r="I107" s="78"/>
      <c r="J107" s="80"/>
      <c r="K107" s="111"/>
      <c r="L107" s="111"/>
      <c r="M107" s="111"/>
      <c r="N107" s="111"/>
      <c r="O107" s="111"/>
      <c r="P107" s="111"/>
    </row>
    <row r="108" spans="1:16" s="109" customFormat="1" ht="16.5" customHeight="1">
      <c r="A108" s="140" t="s">
        <v>468</v>
      </c>
      <c r="B108" s="179"/>
      <c r="C108" s="180" t="s">
        <v>469</v>
      </c>
      <c r="D108" s="113" t="s">
        <v>306</v>
      </c>
      <c r="E108" s="114">
        <v>3</v>
      </c>
      <c r="F108" s="115"/>
      <c r="G108" s="143"/>
      <c r="H108" s="115"/>
      <c r="I108" s="115"/>
      <c r="J108" s="115"/>
      <c r="K108" s="115"/>
      <c r="L108" s="115"/>
      <c r="M108" s="115"/>
      <c r="N108" s="115"/>
      <c r="O108" s="115"/>
      <c r="P108" s="115"/>
    </row>
    <row r="109" spans="1:16" s="109" customFormat="1" ht="16.5" customHeight="1">
      <c r="A109" s="140" t="s">
        <v>470</v>
      </c>
      <c r="B109" s="179"/>
      <c r="C109" s="180" t="s">
        <v>162</v>
      </c>
      <c r="D109" s="113" t="s">
        <v>306</v>
      </c>
      <c r="E109" s="114">
        <v>3</v>
      </c>
      <c r="F109" s="115"/>
      <c r="G109" s="143"/>
      <c r="H109" s="115"/>
      <c r="I109" s="108"/>
      <c r="J109" s="115"/>
      <c r="K109" s="115"/>
      <c r="L109" s="115"/>
      <c r="M109" s="115"/>
      <c r="N109" s="115"/>
      <c r="O109" s="115"/>
      <c r="P109" s="115"/>
    </row>
    <row r="110" spans="1:16" s="61" customFormat="1" ht="22.5" customHeight="1">
      <c r="A110" s="73" t="s">
        <v>471</v>
      </c>
      <c r="B110" s="178"/>
      <c r="C110" s="89" t="s">
        <v>472</v>
      </c>
      <c r="D110" s="71" t="s">
        <v>77</v>
      </c>
      <c r="E110" s="72">
        <v>16</v>
      </c>
      <c r="F110" s="111"/>
      <c r="G110" s="80"/>
      <c r="H110" s="111"/>
      <c r="I110" s="78"/>
      <c r="J110" s="80"/>
      <c r="K110" s="111"/>
      <c r="L110" s="111"/>
      <c r="M110" s="111"/>
      <c r="N110" s="111"/>
      <c r="O110" s="111"/>
      <c r="P110" s="111"/>
    </row>
    <row r="111" spans="1:16" s="109" customFormat="1" ht="16.5" customHeight="1">
      <c r="A111" s="140" t="s">
        <v>473</v>
      </c>
      <c r="B111" s="179"/>
      <c r="C111" s="180" t="s">
        <v>474</v>
      </c>
      <c r="D111" s="113" t="s">
        <v>77</v>
      </c>
      <c r="E111" s="114">
        <v>16</v>
      </c>
      <c r="F111" s="115"/>
      <c r="G111" s="143"/>
      <c r="H111" s="115"/>
      <c r="I111" s="115"/>
      <c r="J111" s="115"/>
      <c r="K111" s="115"/>
      <c r="L111" s="115"/>
      <c r="M111" s="115"/>
      <c r="N111" s="115"/>
      <c r="O111" s="115"/>
      <c r="P111" s="115"/>
    </row>
    <row r="112" spans="1:16" s="109" customFormat="1" ht="16.5" customHeight="1">
      <c r="A112" s="140" t="s">
        <v>475</v>
      </c>
      <c r="B112" s="179"/>
      <c r="C112" s="180" t="s">
        <v>162</v>
      </c>
      <c r="D112" s="113" t="s">
        <v>306</v>
      </c>
      <c r="E112" s="114">
        <v>1</v>
      </c>
      <c r="F112" s="115"/>
      <c r="G112" s="143"/>
      <c r="H112" s="115"/>
      <c r="I112" s="108"/>
      <c r="J112" s="115"/>
      <c r="K112" s="115"/>
      <c r="L112" s="115"/>
      <c r="M112" s="115"/>
      <c r="N112" s="115"/>
      <c r="O112" s="115"/>
      <c r="P112" s="115"/>
    </row>
    <row r="113" spans="1:16" s="109" customFormat="1" ht="18.75" customHeight="1">
      <c r="A113" s="140"/>
      <c r="B113" s="179"/>
      <c r="C113" s="181" t="s">
        <v>476</v>
      </c>
      <c r="D113" s="113"/>
      <c r="E113" s="114"/>
      <c r="F113" s="115"/>
      <c r="G113" s="143"/>
      <c r="H113" s="115"/>
      <c r="I113" s="108"/>
      <c r="J113" s="108"/>
      <c r="K113" s="115"/>
      <c r="L113" s="115"/>
      <c r="M113" s="115"/>
      <c r="N113" s="115"/>
      <c r="O113" s="115"/>
      <c r="P113" s="115"/>
    </row>
    <row r="114" spans="1:16" s="61" customFormat="1" ht="30.75" customHeight="1">
      <c r="A114" s="73" t="s">
        <v>477</v>
      </c>
      <c r="B114" s="178"/>
      <c r="C114" s="89" t="s">
        <v>478</v>
      </c>
      <c r="D114" s="71" t="s">
        <v>306</v>
      </c>
      <c r="E114" s="72">
        <v>1</v>
      </c>
      <c r="F114" s="111"/>
      <c r="G114" s="80"/>
      <c r="H114" s="111"/>
      <c r="I114" s="78"/>
      <c r="J114" s="80"/>
      <c r="K114" s="111"/>
      <c r="L114" s="111"/>
      <c r="M114" s="111"/>
      <c r="N114" s="111"/>
      <c r="O114" s="111"/>
      <c r="P114" s="111"/>
    </row>
    <row r="115" spans="1:16" s="109" customFormat="1" ht="27.75" customHeight="1">
      <c r="A115" s="140" t="s">
        <v>479</v>
      </c>
      <c r="B115" s="179"/>
      <c r="C115" s="180" t="s">
        <v>480</v>
      </c>
      <c r="D115" s="113" t="s">
        <v>306</v>
      </c>
      <c r="E115" s="114">
        <v>1</v>
      </c>
      <c r="F115" s="115"/>
      <c r="G115" s="143"/>
      <c r="H115" s="115"/>
      <c r="I115" s="115"/>
      <c r="J115" s="115"/>
      <c r="K115" s="115"/>
      <c r="L115" s="115"/>
      <c r="M115" s="115"/>
      <c r="N115" s="115"/>
      <c r="O115" s="115"/>
      <c r="P115" s="115"/>
    </row>
    <row r="116" spans="1:16" ht="16.5" customHeight="1">
      <c r="A116" s="140"/>
      <c r="B116" s="182"/>
      <c r="C116" s="139" t="s">
        <v>481</v>
      </c>
      <c r="D116" s="69"/>
      <c r="E116" s="127"/>
      <c r="F116" s="115"/>
      <c r="G116" s="143"/>
      <c r="H116" s="115"/>
      <c r="I116" s="129"/>
      <c r="J116" s="129"/>
      <c r="K116" s="128"/>
      <c r="L116" s="128"/>
      <c r="M116" s="128"/>
      <c r="N116" s="128"/>
      <c r="O116" s="128"/>
      <c r="P116" s="128"/>
    </row>
    <row r="117" spans="1:16" s="61" customFormat="1" ht="27.75" customHeight="1">
      <c r="A117" s="73" t="s">
        <v>482</v>
      </c>
      <c r="B117" s="178"/>
      <c r="C117" s="110" t="s">
        <v>483</v>
      </c>
      <c r="D117" s="71" t="s">
        <v>118</v>
      </c>
      <c r="E117" s="72">
        <v>1</v>
      </c>
      <c r="F117" s="111"/>
      <c r="G117" s="80"/>
      <c r="H117" s="111"/>
      <c r="I117" s="78"/>
      <c r="J117" s="80"/>
      <c r="K117" s="111"/>
      <c r="L117" s="111"/>
      <c r="M117" s="111"/>
      <c r="N117" s="111"/>
      <c r="O117" s="111"/>
      <c r="P117" s="111"/>
    </row>
    <row r="118" spans="1:16" s="109" customFormat="1" ht="17.25" customHeight="1">
      <c r="A118" s="140" t="s">
        <v>484</v>
      </c>
      <c r="B118" s="179"/>
      <c r="C118" s="112" t="s">
        <v>485</v>
      </c>
      <c r="D118" s="113" t="s">
        <v>118</v>
      </c>
      <c r="E118" s="114">
        <v>1</v>
      </c>
      <c r="F118" s="115"/>
      <c r="G118" s="143"/>
      <c r="H118" s="115"/>
      <c r="I118" s="108"/>
      <c r="J118" s="115"/>
      <c r="K118" s="115"/>
      <c r="L118" s="115"/>
      <c r="M118" s="115"/>
      <c r="N118" s="115"/>
      <c r="O118" s="115"/>
      <c r="P118" s="115"/>
    </row>
    <row r="119" spans="1:16" s="109" customFormat="1" ht="17.25" customHeight="1">
      <c r="A119" s="140" t="s">
        <v>486</v>
      </c>
      <c r="B119" s="179"/>
      <c r="C119" s="112" t="s">
        <v>487</v>
      </c>
      <c r="D119" s="113" t="s">
        <v>203</v>
      </c>
      <c r="E119" s="114">
        <v>14</v>
      </c>
      <c r="F119" s="115"/>
      <c r="G119" s="143"/>
      <c r="H119" s="115"/>
      <c r="I119" s="108"/>
      <c r="J119" s="115"/>
      <c r="K119" s="115"/>
      <c r="L119" s="115"/>
      <c r="M119" s="115"/>
      <c r="N119" s="115"/>
      <c r="O119" s="115"/>
      <c r="P119" s="115"/>
    </row>
    <row r="120" spans="1:16" s="109" customFormat="1" ht="17.25" customHeight="1">
      <c r="A120" s="140" t="s">
        <v>488</v>
      </c>
      <c r="B120" s="179"/>
      <c r="C120" s="112" t="s">
        <v>489</v>
      </c>
      <c r="D120" s="113" t="s">
        <v>203</v>
      </c>
      <c r="E120" s="114">
        <v>1</v>
      </c>
      <c r="F120" s="115"/>
      <c r="G120" s="143"/>
      <c r="H120" s="115"/>
      <c r="I120" s="108"/>
      <c r="J120" s="115"/>
      <c r="K120" s="115"/>
      <c r="L120" s="115"/>
      <c r="M120" s="115"/>
      <c r="N120" s="115"/>
      <c r="O120" s="115"/>
      <c r="P120" s="115"/>
    </row>
    <row r="121" spans="1:16" s="109" customFormat="1" ht="17.25" customHeight="1">
      <c r="A121" s="140" t="s">
        <v>490</v>
      </c>
      <c r="B121" s="179"/>
      <c r="C121" s="112" t="s">
        <v>491</v>
      </c>
      <c r="D121" s="113" t="s">
        <v>77</v>
      </c>
      <c r="E121" s="114">
        <v>8.5</v>
      </c>
      <c r="F121" s="115"/>
      <c r="G121" s="143"/>
      <c r="H121" s="115"/>
      <c r="I121" s="108"/>
      <c r="J121" s="115"/>
      <c r="K121" s="115"/>
      <c r="L121" s="115"/>
      <c r="M121" s="115"/>
      <c r="N121" s="115"/>
      <c r="O121" s="115"/>
      <c r="P121" s="115"/>
    </row>
    <row r="122" spans="1:16" s="109" customFormat="1" ht="17.25" customHeight="1">
      <c r="A122" s="140" t="s">
        <v>492</v>
      </c>
      <c r="B122" s="179"/>
      <c r="C122" s="112" t="s">
        <v>493</v>
      </c>
      <c r="D122" s="113" t="s">
        <v>203</v>
      </c>
      <c r="E122" s="114">
        <v>20</v>
      </c>
      <c r="F122" s="115"/>
      <c r="G122" s="143"/>
      <c r="H122" s="115"/>
      <c r="I122" s="108"/>
      <c r="J122" s="115"/>
      <c r="K122" s="115"/>
      <c r="L122" s="115"/>
      <c r="M122" s="115"/>
      <c r="N122" s="115"/>
      <c r="O122" s="115"/>
      <c r="P122" s="115"/>
    </row>
    <row r="123" spans="1:16" s="109" customFormat="1" ht="17.25" customHeight="1">
      <c r="A123" s="140" t="s">
        <v>494</v>
      </c>
      <c r="B123" s="179"/>
      <c r="C123" s="112" t="s">
        <v>162</v>
      </c>
      <c r="D123" s="113" t="s">
        <v>118</v>
      </c>
      <c r="E123" s="114">
        <v>1</v>
      </c>
      <c r="F123" s="115"/>
      <c r="G123" s="143"/>
      <c r="H123" s="115"/>
      <c r="I123" s="108"/>
      <c r="J123" s="115"/>
      <c r="K123" s="115"/>
      <c r="L123" s="115"/>
      <c r="M123" s="115"/>
      <c r="N123" s="115"/>
      <c r="O123" s="115"/>
      <c r="P123" s="115"/>
    </row>
    <row r="124" spans="1:16" s="61" customFormat="1" ht="19.5" customHeight="1">
      <c r="A124" s="73" t="s">
        <v>495</v>
      </c>
      <c r="B124" s="178"/>
      <c r="C124" s="110" t="s">
        <v>496</v>
      </c>
      <c r="D124" s="71" t="s">
        <v>118</v>
      </c>
      <c r="E124" s="72">
        <v>1</v>
      </c>
      <c r="F124" s="111"/>
      <c r="G124" s="80"/>
      <c r="H124" s="111"/>
      <c r="I124" s="78"/>
      <c r="J124" s="80"/>
      <c r="K124" s="111"/>
      <c r="L124" s="111"/>
      <c r="M124" s="111"/>
      <c r="N124" s="111"/>
      <c r="O124" s="111"/>
      <c r="P124" s="111"/>
    </row>
    <row r="125" spans="1:16" s="109" customFormat="1" ht="27.75" customHeight="1">
      <c r="A125" s="140" t="s">
        <v>497</v>
      </c>
      <c r="B125" s="179"/>
      <c r="C125" s="112" t="s">
        <v>498</v>
      </c>
      <c r="D125" s="113" t="s">
        <v>118</v>
      </c>
      <c r="E125" s="114">
        <v>1</v>
      </c>
      <c r="F125" s="115"/>
      <c r="G125" s="143"/>
      <c r="H125" s="115"/>
      <c r="I125" s="108"/>
      <c r="J125" s="143"/>
      <c r="K125" s="115"/>
      <c r="L125" s="115"/>
      <c r="M125" s="115"/>
      <c r="N125" s="115"/>
      <c r="O125" s="115"/>
      <c r="P125" s="115"/>
    </row>
    <row r="126" spans="1:16" s="61" customFormat="1" ht="43.5" customHeight="1">
      <c r="A126" s="73" t="s">
        <v>499</v>
      </c>
      <c r="B126" s="183"/>
      <c r="C126" s="79" t="s">
        <v>500</v>
      </c>
      <c r="D126" s="87" t="s">
        <v>74</v>
      </c>
      <c r="E126" s="77">
        <v>195</v>
      </c>
      <c r="F126" s="78"/>
      <c r="G126" s="80"/>
      <c r="H126" s="111"/>
      <c r="I126" s="78"/>
      <c r="J126" s="80"/>
      <c r="K126" s="111"/>
      <c r="L126" s="111"/>
      <c r="M126" s="111"/>
      <c r="N126" s="111"/>
      <c r="O126" s="111"/>
      <c r="P126" s="111"/>
    </row>
    <row r="127" spans="1:16" s="61" customFormat="1" ht="29.25" customHeight="1">
      <c r="A127" s="73"/>
      <c r="B127" s="183"/>
      <c r="C127" s="79" t="s">
        <v>501</v>
      </c>
      <c r="D127" s="87" t="s">
        <v>74</v>
      </c>
      <c r="E127" s="87">
        <v>34.8</v>
      </c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</row>
    <row r="128" spans="1:16" s="61" customFormat="1" ht="19.5" customHeight="1">
      <c r="A128" s="73"/>
      <c r="B128" s="183"/>
      <c r="C128" s="116" t="s">
        <v>502</v>
      </c>
      <c r="D128" s="105" t="s">
        <v>135</v>
      </c>
      <c r="E128" s="107">
        <f>SUM(E127*0.025)*1.05</f>
        <v>0.9135</v>
      </c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</row>
    <row r="129" spans="1:16" s="61" customFormat="1" ht="19.5" customHeight="1">
      <c r="A129" s="73"/>
      <c r="B129" s="183"/>
      <c r="C129" s="116" t="s">
        <v>503</v>
      </c>
      <c r="D129" s="105" t="s">
        <v>504</v>
      </c>
      <c r="E129" s="107">
        <f>SUM(E127*0.3)</f>
        <v>10.44</v>
      </c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</row>
    <row r="130" spans="1:16" s="61" customFormat="1" ht="19.5" customHeight="1">
      <c r="A130" s="73"/>
      <c r="B130" s="183"/>
      <c r="C130" s="116" t="s">
        <v>505</v>
      </c>
      <c r="D130" s="105" t="s">
        <v>504</v>
      </c>
      <c r="E130" s="107">
        <f>SUM(E127*0.25)</f>
        <v>8.7</v>
      </c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</row>
    <row r="131" spans="1:16" s="61" customFormat="1" ht="29.25" customHeight="1">
      <c r="A131" s="73"/>
      <c r="B131" s="183"/>
      <c r="C131" s="79" t="s">
        <v>506</v>
      </c>
      <c r="D131" s="87" t="s">
        <v>74</v>
      </c>
      <c r="E131" s="87">
        <v>15.68</v>
      </c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</row>
    <row r="132" spans="1:16" s="61" customFormat="1" ht="20.25" customHeight="1">
      <c r="A132" s="73"/>
      <c r="B132" s="183"/>
      <c r="C132" s="116" t="s">
        <v>502</v>
      </c>
      <c r="D132" s="105" t="s">
        <v>135</v>
      </c>
      <c r="E132" s="107">
        <f>SUM(E131*0.025)*1.05</f>
        <v>0.4116</v>
      </c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</row>
    <row r="133" spans="1:16" s="61" customFormat="1" ht="20.25" customHeight="1">
      <c r="A133" s="73"/>
      <c r="B133" s="183"/>
      <c r="C133" s="116" t="s">
        <v>503</v>
      </c>
      <c r="D133" s="105" t="s">
        <v>504</v>
      </c>
      <c r="E133" s="107">
        <f>SUM(E131*0.3)</f>
        <v>4.704</v>
      </c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</row>
    <row r="134" spans="1:16" s="61" customFormat="1" ht="20.25" customHeight="1">
      <c r="A134" s="73"/>
      <c r="B134" s="183"/>
      <c r="C134" s="116" t="s">
        <v>505</v>
      </c>
      <c r="D134" s="105" t="s">
        <v>504</v>
      </c>
      <c r="E134" s="107">
        <f>SUM(E131*0.25)</f>
        <v>3.92</v>
      </c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</row>
    <row r="135" spans="1:16" s="144" customFormat="1" ht="15.75" customHeight="1">
      <c r="A135" s="140"/>
      <c r="B135" s="169"/>
      <c r="C135" s="161" t="s">
        <v>507</v>
      </c>
      <c r="D135" s="169"/>
      <c r="E135" s="170"/>
      <c r="F135" s="108"/>
      <c r="G135" s="143"/>
      <c r="H135" s="115"/>
      <c r="I135" s="171"/>
      <c r="J135" s="171"/>
      <c r="K135" s="143"/>
      <c r="L135" s="143"/>
      <c r="M135" s="143"/>
      <c r="N135" s="143"/>
      <c r="O135" s="143"/>
      <c r="P135" s="143"/>
    </row>
    <row r="136" spans="1:16" s="31" customFormat="1" ht="15.75" customHeight="1">
      <c r="A136" s="73" t="s">
        <v>508</v>
      </c>
      <c r="B136" s="184"/>
      <c r="C136" s="185" t="s">
        <v>509</v>
      </c>
      <c r="D136" s="184" t="s">
        <v>74</v>
      </c>
      <c r="E136" s="93">
        <v>200</v>
      </c>
      <c r="F136" s="93"/>
      <c r="G136" s="93"/>
      <c r="H136" s="80"/>
      <c r="I136" s="80"/>
      <c r="J136" s="80"/>
      <c r="K136" s="80"/>
      <c r="L136" s="80"/>
      <c r="M136" s="80"/>
      <c r="N136" s="80"/>
      <c r="O136" s="80"/>
      <c r="P136" s="80"/>
    </row>
    <row r="137" spans="1:16" s="144" customFormat="1" ht="18.75" customHeight="1">
      <c r="A137" s="149"/>
      <c r="B137" s="150"/>
      <c r="C137" s="132"/>
      <c r="D137" s="150"/>
      <c r="E137" s="186"/>
      <c r="F137" s="186"/>
      <c r="G137" s="186"/>
      <c r="H137" s="151"/>
      <c r="I137" s="151"/>
      <c r="J137" s="151"/>
      <c r="K137" s="151"/>
      <c r="L137" s="151"/>
      <c r="M137" s="151"/>
      <c r="N137" s="151"/>
      <c r="O137" s="151"/>
      <c r="P137" s="151"/>
    </row>
  </sheetData>
  <mergeCells count="10">
    <mergeCell ref="N8:O8"/>
    <mergeCell ref="I9:P9"/>
    <mergeCell ref="A10:H10"/>
    <mergeCell ref="A11:A12"/>
    <mergeCell ref="B11:B12"/>
    <mergeCell ref="C11:C12"/>
    <mergeCell ref="D11:D12"/>
    <mergeCell ref="E11:E12"/>
    <mergeCell ref="F11:K11"/>
    <mergeCell ref="L11:P11"/>
  </mergeCells>
  <printOptions horizontalCentered="1"/>
  <pageMargins left="0.39375" right="0.39375" top="0.9840277777777777" bottom="0.5902777777777778" header="0.5118055555555555" footer="0.19652777777777777"/>
  <pageSetup horizontalDpi="300" verticalDpi="300" orientation="landscape" paperSize="9" scale="86"/>
  <headerFooter alignWithMargins="0">
    <oddFooter>&amp;CPage &amp;P&amp;R&amp;A</oddFooter>
  </headerFooter>
  <rowBreaks count="5" manualBreakCount="5">
    <brk id="28" max="255" man="1"/>
    <brk id="51" max="255" man="1"/>
    <brk id="76" max="255" man="1"/>
    <brk id="99" max="255" man="1"/>
    <brk id="12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42"/>
  <sheetViews>
    <sheetView zoomScaleSheetLayoutView="140" workbookViewId="0" topLeftCell="A1">
      <selection activeCell="K7" sqref="K7"/>
    </sheetView>
  </sheetViews>
  <sheetFormatPr defaultColWidth="9.140625" defaultRowHeight="12.75"/>
  <cols>
    <col min="1" max="1" width="7.140625" style="187" customWidth="1"/>
    <col min="2" max="2" width="5.00390625" style="187" customWidth="1"/>
    <col min="3" max="3" width="33.57421875" style="187" customWidth="1"/>
    <col min="4" max="4" width="7.140625" style="187" customWidth="1"/>
    <col min="5" max="10" width="8.57421875" style="187" customWidth="1"/>
    <col min="11" max="16" width="10.00390625" style="187" customWidth="1"/>
    <col min="17" max="16384" width="9.140625" style="187" customWidth="1"/>
  </cols>
  <sheetData>
    <row r="1" spans="1:16" ht="14.25">
      <c r="A1" s="188"/>
      <c r="B1" s="188"/>
      <c r="C1" s="188"/>
      <c r="D1" s="188"/>
      <c r="E1" s="188"/>
      <c r="F1" s="188"/>
      <c r="G1" s="188" t="s">
        <v>510</v>
      </c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4.25">
      <c r="A2" s="189"/>
      <c r="B2" s="189"/>
      <c r="C2" s="189"/>
      <c r="D2" s="189"/>
      <c r="E2" s="189"/>
      <c r="F2" s="189"/>
      <c r="G2" s="189" t="s">
        <v>511</v>
      </c>
      <c r="H2" s="189"/>
      <c r="I2" s="189"/>
      <c r="J2" s="189"/>
      <c r="K2" s="189"/>
      <c r="L2" s="189"/>
      <c r="M2" s="189"/>
      <c r="N2" s="189"/>
      <c r="O2" s="189"/>
      <c r="P2" s="189"/>
    </row>
    <row r="3" spans="1:16" ht="14.2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6" ht="12.75" customHeight="1">
      <c r="A4" s="7" t="s">
        <v>23</v>
      </c>
      <c r="B4" s="8"/>
      <c r="C4"/>
      <c r="D4" s="7" t="s">
        <v>24</v>
      </c>
      <c r="E4" s="60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2.75" customHeight="1">
      <c r="A5" s="7" t="s">
        <v>25</v>
      </c>
      <c r="B5" s="10"/>
      <c r="C5"/>
      <c r="D5" s="32" t="s">
        <v>26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2.75" customHeight="1">
      <c r="A6" s="7" t="s">
        <v>4</v>
      </c>
      <c r="B6" s="8"/>
      <c r="C6"/>
      <c r="D6" s="9"/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 customHeight="1">
      <c r="A7" s="10" t="s">
        <v>5</v>
      </c>
      <c r="B7" s="11"/>
      <c r="C7"/>
      <c r="D7" s="9" t="s">
        <v>6</v>
      </c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2.75" customHeight="1">
      <c r="A8" s="7" t="s">
        <v>7</v>
      </c>
      <c r="B8" s="10"/>
      <c r="C8"/>
      <c r="D8" s="51" t="s">
        <v>8</v>
      </c>
      <c r="E8" s="9"/>
      <c r="F8" s="191"/>
      <c r="G8" s="191"/>
      <c r="H8" s="191"/>
      <c r="I8" s="192"/>
      <c r="J8" s="192"/>
      <c r="K8" s="193"/>
      <c r="L8" s="192"/>
      <c r="M8" s="192"/>
      <c r="N8" s="194"/>
      <c r="O8" s="194"/>
      <c r="P8" s="192"/>
    </row>
    <row r="9" spans="1:16" ht="12">
      <c r="A9" s="7" t="s">
        <v>9</v>
      </c>
      <c r="B9" s="8"/>
      <c r="C9"/>
      <c r="D9" s="7" t="s">
        <v>10</v>
      </c>
      <c r="E9" s="10"/>
      <c r="I9" s="7"/>
      <c r="J9" s="7"/>
      <c r="K9" s="7"/>
      <c r="L9" s="7"/>
      <c r="M9" s="7"/>
      <c r="N9" s="7"/>
      <c r="O9" s="7"/>
      <c r="P9" s="7"/>
    </row>
    <row r="10" spans="1:8" ht="12.75" customHeight="1">
      <c r="A10" s="64"/>
      <c r="B10" s="64"/>
      <c r="C10" s="64"/>
      <c r="D10" s="64"/>
      <c r="E10" s="64"/>
      <c r="F10" s="64"/>
      <c r="G10" s="64"/>
      <c r="H10" s="64"/>
    </row>
    <row r="11" spans="1:16" ht="15.75" customHeight="1">
      <c r="A11" s="39" t="s">
        <v>56</v>
      </c>
      <c r="B11" s="65" t="s">
        <v>57</v>
      </c>
      <c r="C11" s="66" t="s">
        <v>58</v>
      </c>
      <c r="D11" s="65" t="s">
        <v>59</v>
      </c>
      <c r="E11" s="65" t="s">
        <v>60</v>
      </c>
      <c r="F11" s="195" t="s">
        <v>61</v>
      </c>
      <c r="G11" s="195"/>
      <c r="H11" s="195"/>
      <c r="I11" s="195"/>
      <c r="J11" s="195"/>
      <c r="K11" s="195"/>
      <c r="L11" s="195" t="s">
        <v>62</v>
      </c>
      <c r="M11" s="195" t="s">
        <v>62</v>
      </c>
      <c r="N11" s="195"/>
      <c r="O11" s="195"/>
      <c r="P11" s="195"/>
    </row>
    <row r="12" spans="1:16" ht="57.75" customHeight="1">
      <c r="A12" s="39"/>
      <c r="B12" s="65"/>
      <c r="C12" s="66"/>
      <c r="D12" s="65"/>
      <c r="E12" s="65"/>
      <c r="F12" s="65" t="s">
        <v>63</v>
      </c>
      <c r="G12" s="65" t="s">
        <v>64</v>
      </c>
      <c r="H12" s="65" t="s">
        <v>65</v>
      </c>
      <c r="I12" s="65" t="s">
        <v>66</v>
      </c>
      <c r="J12" s="65" t="s">
        <v>67</v>
      </c>
      <c r="K12" s="65" t="s">
        <v>68</v>
      </c>
      <c r="L12" s="65" t="s">
        <v>49</v>
      </c>
      <c r="M12" s="65" t="s">
        <v>69</v>
      </c>
      <c r="N12" s="65" t="s">
        <v>70</v>
      </c>
      <c r="O12" s="65" t="s">
        <v>67</v>
      </c>
      <c r="P12" s="65" t="s">
        <v>71</v>
      </c>
    </row>
    <row r="13" spans="1:16" s="9" customFormat="1" ht="12.75" customHeight="1">
      <c r="A13" s="137">
        <v>1</v>
      </c>
      <c r="B13" s="137">
        <v>2</v>
      </c>
      <c r="C13" s="137">
        <v>3</v>
      </c>
      <c r="D13" s="137">
        <v>4</v>
      </c>
      <c r="E13" s="137">
        <v>5</v>
      </c>
      <c r="F13" s="137">
        <v>6</v>
      </c>
      <c r="G13" s="137">
        <v>7</v>
      </c>
      <c r="H13" s="137">
        <v>8</v>
      </c>
      <c r="I13" s="137">
        <v>9</v>
      </c>
      <c r="J13" s="137">
        <v>10</v>
      </c>
      <c r="K13" s="137">
        <v>11</v>
      </c>
      <c r="L13" s="137">
        <v>12</v>
      </c>
      <c r="M13" s="137">
        <v>13</v>
      </c>
      <c r="N13" s="137">
        <v>14</v>
      </c>
      <c r="O13" s="137">
        <v>15</v>
      </c>
      <c r="P13" s="137">
        <v>16</v>
      </c>
    </row>
    <row r="14" spans="1:16" s="9" customFormat="1" ht="16.5" customHeight="1">
      <c r="A14" s="103"/>
      <c r="B14" s="66"/>
      <c r="C14" s="196"/>
      <c r="D14" s="66"/>
      <c r="E14" s="197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78"/>
    </row>
    <row r="15" spans="1:16" s="9" customFormat="1" ht="15.75" customHeight="1">
      <c r="A15" s="71"/>
      <c r="B15" s="69"/>
      <c r="C15" s="198" t="s">
        <v>512</v>
      </c>
      <c r="D15" s="69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72"/>
    </row>
    <row r="16" spans="1:16" s="61" customFormat="1" ht="30" customHeight="1">
      <c r="A16" s="103" t="s">
        <v>513</v>
      </c>
      <c r="B16" s="87"/>
      <c r="C16" s="79" t="s">
        <v>514</v>
      </c>
      <c r="D16" s="87" t="s">
        <v>203</v>
      </c>
      <c r="E16" s="77">
        <v>11</v>
      </c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1:16" s="109" customFormat="1" ht="18.75" customHeight="1">
      <c r="A17" s="104" t="s">
        <v>515</v>
      </c>
      <c r="B17" s="105"/>
      <c r="C17" s="116" t="s">
        <v>516</v>
      </c>
      <c r="D17" s="105" t="s">
        <v>203</v>
      </c>
      <c r="E17" s="107">
        <v>1</v>
      </c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</row>
    <row r="18" spans="1:16" s="109" customFormat="1" ht="15.75" customHeight="1">
      <c r="A18" s="104" t="s">
        <v>517</v>
      </c>
      <c r="B18" s="105"/>
      <c r="C18" s="116" t="s">
        <v>518</v>
      </c>
      <c r="D18" s="105" t="s">
        <v>203</v>
      </c>
      <c r="E18" s="107">
        <v>1</v>
      </c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</row>
    <row r="19" spans="1:16" s="109" customFormat="1" ht="15.75" customHeight="1">
      <c r="A19" s="104" t="s">
        <v>519</v>
      </c>
      <c r="B19" s="105"/>
      <c r="C19" s="116" t="s">
        <v>520</v>
      </c>
      <c r="D19" s="105" t="s">
        <v>203</v>
      </c>
      <c r="E19" s="107">
        <v>1</v>
      </c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</row>
    <row r="20" spans="1:16" s="109" customFormat="1" ht="15.75" customHeight="1">
      <c r="A20" s="104" t="s">
        <v>521</v>
      </c>
      <c r="B20" s="105"/>
      <c r="C20" s="116" t="s">
        <v>522</v>
      </c>
      <c r="D20" s="105" t="s">
        <v>203</v>
      </c>
      <c r="E20" s="107">
        <v>3</v>
      </c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</row>
    <row r="21" spans="1:16" s="109" customFormat="1" ht="15.75" customHeight="1">
      <c r="A21" s="104" t="s">
        <v>523</v>
      </c>
      <c r="B21" s="105"/>
      <c r="C21" s="116" t="s">
        <v>524</v>
      </c>
      <c r="D21" s="105" t="s">
        <v>203</v>
      </c>
      <c r="E21" s="107">
        <v>2</v>
      </c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</row>
    <row r="22" spans="1:16" s="109" customFormat="1" ht="15.75" customHeight="1">
      <c r="A22" s="104"/>
      <c r="B22" s="105"/>
      <c r="C22" s="116" t="s">
        <v>525</v>
      </c>
      <c r="D22" s="105" t="s">
        <v>203</v>
      </c>
      <c r="E22" s="107">
        <v>3</v>
      </c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</row>
    <row r="23" spans="1:16" s="109" customFormat="1" ht="14.25" customHeight="1">
      <c r="A23" s="104" t="s">
        <v>526</v>
      </c>
      <c r="B23" s="105"/>
      <c r="C23" s="116" t="s">
        <v>527</v>
      </c>
      <c r="D23" s="105" t="s">
        <v>203</v>
      </c>
      <c r="E23" s="107">
        <v>11</v>
      </c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</row>
    <row r="24" spans="1:16" s="109" customFormat="1" ht="15" customHeight="1">
      <c r="A24" s="104" t="s">
        <v>528</v>
      </c>
      <c r="B24" s="105"/>
      <c r="C24" s="116" t="s">
        <v>529</v>
      </c>
      <c r="D24" s="105" t="s">
        <v>203</v>
      </c>
      <c r="E24" s="107">
        <v>11</v>
      </c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</row>
    <row r="25" spans="1:16" s="109" customFormat="1" ht="25.5" customHeight="1">
      <c r="A25" s="104" t="s">
        <v>530</v>
      </c>
      <c r="B25" s="105"/>
      <c r="C25" s="116" t="s">
        <v>531</v>
      </c>
      <c r="D25" s="105" t="s">
        <v>532</v>
      </c>
      <c r="E25" s="107">
        <v>1</v>
      </c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</row>
    <row r="26" spans="1:16" s="109" customFormat="1" ht="15" customHeight="1">
      <c r="A26" s="103" t="s">
        <v>533</v>
      </c>
      <c r="B26" s="105"/>
      <c r="C26" s="79" t="s">
        <v>534</v>
      </c>
      <c r="D26" s="87" t="s">
        <v>203</v>
      </c>
      <c r="E26" s="77">
        <v>3</v>
      </c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1:16" s="109" customFormat="1" ht="28.5" customHeight="1">
      <c r="A27" s="104" t="s">
        <v>535</v>
      </c>
      <c r="B27" s="105"/>
      <c r="C27" s="116" t="s">
        <v>536</v>
      </c>
      <c r="D27" s="105" t="s">
        <v>203</v>
      </c>
      <c r="E27" s="107">
        <v>3</v>
      </c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</row>
    <row r="28" spans="1:16" s="109" customFormat="1" ht="25.5" customHeight="1">
      <c r="A28" s="104" t="s">
        <v>537</v>
      </c>
      <c r="B28" s="105"/>
      <c r="C28" s="116" t="s">
        <v>531</v>
      </c>
      <c r="D28" s="105" t="s">
        <v>118</v>
      </c>
      <c r="E28" s="107">
        <v>1</v>
      </c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</row>
    <row r="29" spans="1:16" s="9" customFormat="1" ht="16.5" customHeight="1">
      <c r="A29" s="103"/>
      <c r="B29" s="66"/>
      <c r="C29" s="196" t="s">
        <v>538</v>
      </c>
      <c r="D29" s="66"/>
      <c r="E29" s="197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78"/>
    </row>
    <row r="30" spans="1:16" s="9" customFormat="1" ht="17.25" customHeight="1">
      <c r="A30" s="103" t="s">
        <v>539</v>
      </c>
      <c r="B30" s="66"/>
      <c r="C30" s="79" t="s">
        <v>540</v>
      </c>
      <c r="D30" s="87" t="s">
        <v>203</v>
      </c>
      <c r="E30" s="77">
        <f>SUM(E31:E38)</f>
        <v>15</v>
      </c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1:16" s="109" customFormat="1" ht="17.25" customHeight="1">
      <c r="A31" s="104" t="s">
        <v>541</v>
      </c>
      <c r="B31" s="105"/>
      <c r="C31" s="116" t="s">
        <v>542</v>
      </c>
      <c r="D31" s="105" t="s">
        <v>203</v>
      </c>
      <c r="E31" s="107">
        <v>1</v>
      </c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</row>
    <row r="32" spans="1:16" s="109" customFormat="1" ht="17.25" customHeight="1">
      <c r="A32" s="104" t="s">
        <v>543</v>
      </c>
      <c r="B32" s="105"/>
      <c r="C32" s="116" t="s">
        <v>544</v>
      </c>
      <c r="D32" s="105" t="s">
        <v>203</v>
      </c>
      <c r="E32" s="107">
        <v>1</v>
      </c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</row>
    <row r="33" spans="1:16" s="109" customFormat="1" ht="17.25" customHeight="1">
      <c r="A33" s="104" t="s">
        <v>545</v>
      </c>
      <c r="B33" s="105"/>
      <c r="C33" s="116" t="s">
        <v>546</v>
      </c>
      <c r="D33" s="105" t="s">
        <v>203</v>
      </c>
      <c r="E33" s="107">
        <v>5</v>
      </c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</row>
    <row r="34" spans="1:16" s="109" customFormat="1" ht="14.25" customHeight="1">
      <c r="A34" s="104" t="s">
        <v>547</v>
      </c>
      <c r="B34" s="105"/>
      <c r="C34" s="116" t="s">
        <v>548</v>
      </c>
      <c r="D34" s="105" t="s">
        <v>203</v>
      </c>
      <c r="E34" s="107">
        <v>1</v>
      </c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</row>
    <row r="35" spans="1:16" s="109" customFormat="1" ht="14.25" customHeight="1">
      <c r="A35" s="104" t="s">
        <v>549</v>
      </c>
      <c r="B35" s="105"/>
      <c r="C35" s="116" t="s">
        <v>550</v>
      </c>
      <c r="D35" s="105" t="s">
        <v>203</v>
      </c>
      <c r="E35" s="107">
        <v>1</v>
      </c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1:16" s="109" customFormat="1" ht="14.25" customHeight="1">
      <c r="A36" s="104" t="s">
        <v>551</v>
      </c>
      <c r="B36" s="105"/>
      <c r="C36" s="116" t="s">
        <v>552</v>
      </c>
      <c r="D36" s="105" t="s">
        <v>203</v>
      </c>
      <c r="E36" s="107">
        <v>3</v>
      </c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</row>
    <row r="37" spans="1:16" s="109" customFormat="1" ht="14.25" customHeight="1">
      <c r="A37" s="104" t="s">
        <v>553</v>
      </c>
      <c r="B37" s="105"/>
      <c r="C37" s="116" t="s">
        <v>554</v>
      </c>
      <c r="D37" s="105" t="s">
        <v>203</v>
      </c>
      <c r="E37" s="107">
        <v>2</v>
      </c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</row>
    <row r="38" spans="1:16" s="109" customFormat="1" ht="14.25" customHeight="1">
      <c r="A38" s="104" t="s">
        <v>555</v>
      </c>
      <c r="B38" s="105"/>
      <c r="C38" s="116" t="s">
        <v>556</v>
      </c>
      <c r="D38" s="105" t="s">
        <v>203</v>
      </c>
      <c r="E38" s="107">
        <v>1</v>
      </c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</row>
    <row r="39" spans="1:16" s="109" customFormat="1" ht="25.5" customHeight="1">
      <c r="A39" s="104" t="s">
        <v>557</v>
      </c>
      <c r="B39" s="105"/>
      <c r="C39" s="116" t="s">
        <v>531</v>
      </c>
      <c r="D39" s="105" t="s">
        <v>532</v>
      </c>
      <c r="E39" s="107">
        <v>1</v>
      </c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</row>
    <row r="40" spans="1:16" s="61" customFormat="1" ht="18.75" customHeight="1">
      <c r="A40" s="103" t="s">
        <v>558</v>
      </c>
      <c r="B40" s="199"/>
      <c r="C40" s="185" t="s">
        <v>559</v>
      </c>
      <c r="D40" s="199" t="s">
        <v>118</v>
      </c>
      <c r="E40" s="200">
        <v>1</v>
      </c>
      <c r="F40" s="201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1:16" s="109" customFormat="1" ht="29.25" customHeight="1">
      <c r="A41" s="104" t="s">
        <v>560</v>
      </c>
      <c r="B41" s="202"/>
      <c r="C41" s="203" t="s">
        <v>561</v>
      </c>
      <c r="D41" s="202" t="s">
        <v>118</v>
      </c>
      <c r="E41" s="204">
        <v>1</v>
      </c>
      <c r="F41" s="117"/>
      <c r="G41" s="117"/>
      <c r="H41" s="117"/>
      <c r="I41" s="117"/>
      <c r="J41" s="108"/>
      <c r="K41" s="108"/>
      <c r="L41" s="108"/>
      <c r="M41" s="108"/>
      <c r="N41" s="108"/>
      <c r="O41" s="108"/>
      <c r="P41" s="108"/>
    </row>
    <row r="42" spans="1:16" s="109" customFormat="1" ht="14.25" customHeight="1">
      <c r="A42" s="130"/>
      <c r="B42" s="131"/>
      <c r="C42" s="132"/>
      <c r="D42" s="131"/>
      <c r="E42" s="133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</row>
  </sheetData>
  <mergeCells count="10">
    <mergeCell ref="N8:O8"/>
    <mergeCell ref="I9:P9"/>
    <mergeCell ref="A10:H10"/>
    <mergeCell ref="A11:A12"/>
    <mergeCell ref="B11:B12"/>
    <mergeCell ref="C11:C12"/>
    <mergeCell ref="D11:D12"/>
    <mergeCell ref="E11:E12"/>
    <mergeCell ref="F11:K11"/>
    <mergeCell ref="L11:P11"/>
  </mergeCells>
  <printOptions horizontalCentered="1"/>
  <pageMargins left="0.39375" right="0.39375" top="0.9840277777777777" bottom="0.5902777777777778" header="0.5118055555555555" footer="0.19652777777777777"/>
  <pageSetup horizontalDpi="300" verticalDpi="300" orientation="landscape" paperSize="9" scale="85"/>
  <headerFooter alignWithMargins="0">
    <oddFooter>&amp;CPage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2010-08-06T12:48:18Z</cp:lastPrinted>
  <dcterms:created xsi:type="dcterms:W3CDTF">1996-10-14T23:33:28Z</dcterms:created>
  <dcterms:modified xsi:type="dcterms:W3CDTF">2010-08-09T13:46:18Z</dcterms:modified>
  <cp:category/>
  <cp:version/>
  <cp:contentType/>
  <cp:contentStatus/>
  <cp:revision>3</cp:revision>
</cp:coreProperties>
</file>