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908" activeTab="4"/>
  </bookViews>
  <sheets>
    <sheet name="Kopsavilkuma aprēķins" sheetId="1" r:id="rId1"/>
    <sheet name="LT-1 VC " sheetId="2" r:id="rId2"/>
    <sheet name="LT-2 UAS" sheetId="3" r:id="rId3"/>
    <sheet name="LT-3 EL" sheetId="4" r:id="rId4"/>
    <sheet name="LT-4 AVK" sheetId="5" r:id="rId5"/>
    <sheet name="LT-1;ŪdenstornisAR&lt;BK&lt;TN&lt;EL" sheetId="6" state="hidden" r:id="rId6"/>
  </sheets>
  <definedNames>
    <definedName name="_xlnm.Print_Area" localSheetId="5">'LT-1;ŪdenstornisAR&lt;BK&lt;TN&lt;EL'!$A$1:$O$285</definedName>
    <definedName name="_xlnm.Print_Titles" localSheetId="0">'Kopsavilkuma aprēķins'!$13:$16</definedName>
    <definedName name="_xlnm.Print_Titles" localSheetId="5">'LT-1;ŪdenstornisAR&lt;BK&lt;TN&lt;EL'!$14:$16</definedName>
    <definedName name="_xlnm.Print_Titles" localSheetId="4">'LT-4 AVK'!$14:$15</definedName>
  </definedNames>
  <calcPr fullCalcOnLoad="1" fullPrecision="0"/>
</workbook>
</file>

<file path=xl/comments6.xml><?xml version="1.0" encoding="utf-8"?>
<comments xmlns="http://schemas.openxmlformats.org/spreadsheetml/2006/main">
  <authors>
    <author>Jirjens</author>
  </authors>
  <commentList>
    <comment ref="D3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Apšaubāms būvdarbu apjoms vai mērvienība</t>
        </r>
      </text>
    </comment>
    <comment ref="B4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Vai tāds netrūkst?
</t>
        </r>
      </text>
    </comment>
  </commentList>
</comments>
</file>

<file path=xl/sharedStrings.xml><?xml version="1.0" encoding="utf-8"?>
<sst xmlns="http://schemas.openxmlformats.org/spreadsheetml/2006/main" count="1331" uniqueCount="798">
  <si>
    <t>Montāžas palīgmateriāli</t>
  </si>
  <si>
    <t>Kods, tāmes Nr.</t>
  </si>
  <si>
    <t>Tai skaitā</t>
  </si>
  <si>
    <t xml:space="preserve">Pārbaudīja: </t>
  </si>
  <si>
    <t>Tāme sastādīta:</t>
  </si>
  <si>
    <t>Nr.p.k.</t>
  </si>
  <si>
    <t>Sastādīja</t>
  </si>
  <si>
    <t>Ls</t>
  </si>
  <si>
    <t>Tāmes izmaksas:</t>
  </si>
  <si>
    <t>t</t>
  </si>
  <si>
    <t>Meh</t>
  </si>
  <si>
    <t>Caurule PE OD32</t>
  </si>
  <si>
    <t>Tāme sastādīta 2011. gada tirgus cenās, pamatojoties uz tehnisko projektu</t>
  </si>
  <si>
    <r>
      <t>m</t>
    </r>
    <r>
      <rPr>
        <i/>
        <vertAlign val="superscript"/>
        <sz val="10"/>
        <rFont val="Arial"/>
        <family val="2"/>
      </rPr>
      <t>3</t>
    </r>
  </si>
  <si>
    <t>ha</t>
  </si>
  <si>
    <t>gb.</t>
  </si>
  <si>
    <t>Objekta nosaukums</t>
  </si>
  <si>
    <t>Objekta adrese</t>
  </si>
  <si>
    <t>Pasūtītājs</t>
  </si>
  <si>
    <t>Līguma Nr.</t>
  </si>
  <si>
    <t>Nr.</t>
  </si>
  <si>
    <t>Darbu un izdevumu nosaukums</t>
  </si>
  <si>
    <t>Mērv.</t>
  </si>
  <si>
    <t>Daudz.</t>
  </si>
  <si>
    <t>Vienības izmaksa</t>
  </si>
  <si>
    <t>Kopējā izmaksa</t>
  </si>
  <si>
    <t>Darba samaksas likme (Ls/h)</t>
  </si>
  <si>
    <t>Darba alga Ls/h</t>
  </si>
  <si>
    <t>Materiāli     Ls</t>
  </si>
  <si>
    <t>Mehānismi Ls</t>
  </si>
  <si>
    <t>Darbietilpība (c/h)</t>
  </si>
  <si>
    <t>Darba alga Ls</t>
  </si>
  <si>
    <t>Materiāli        Ls</t>
  </si>
  <si>
    <t>kompl.</t>
  </si>
  <si>
    <t>gb</t>
  </si>
  <si>
    <t>Montāžas palīgmateriāli un stiprinājumi</t>
  </si>
  <si>
    <t>m</t>
  </si>
  <si>
    <t>Kopā    Ls</t>
  </si>
  <si>
    <t>Laika norm.c/h</t>
  </si>
  <si>
    <t>Kopā:</t>
  </si>
  <si>
    <t>Materiālu apmaiņas un būvgružu transporta izdevumi</t>
  </si>
  <si>
    <t>kg</t>
  </si>
  <si>
    <t>vieta</t>
  </si>
  <si>
    <t>m2</t>
  </si>
  <si>
    <t>m3</t>
  </si>
  <si>
    <t>Betons B15</t>
  </si>
  <si>
    <t>kompl</t>
  </si>
  <si>
    <t>Atloku aizbīdnis DN100</t>
  </si>
  <si>
    <t xml:space="preserve">Pagaidu balsts </t>
  </si>
  <si>
    <t>Līmeņa devējs</t>
  </si>
  <si>
    <t>Nerūsējošās tērauda caurules Ø 114,3x2</t>
  </si>
  <si>
    <t>Nerūsējošās tērauda caurules Ø 33,7x2,0</t>
  </si>
  <si>
    <t>Atloks tērauda caurulēm  DN 100</t>
  </si>
  <si>
    <t>Atloks tērauda caurulēm  DN 25</t>
  </si>
  <si>
    <t>NT DN 100/100 trejgabals, metināms</t>
  </si>
  <si>
    <t>NT DN 100/25 trejgabals, metināms</t>
  </si>
  <si>
    <t>NT pāreja DN250/100</t>
  </si>
  <si>
    <t>Metinamais lodveida ventilis DN100</t>
  </si>
  <si>
    <t>Metinamais lodveida ventilis DN25</t>
  </si>
  <si>
    <t>Lodveida pretvārsts ar atloku DN100</t>
  </si>
  <si>
    <t>Pāreja PP OD110/ PP OD160</t>
  </si>
  <si>
    <t>Aizsargčaula DN110 PP caurulei</t>
  </si>
  <si>
    <t>Caurules kronšteins ar gumiju DN 100xM10</t>
  </si>
  <si>
    <t>Plakandzelzs 25x5mm , 10m</t>
  </si>
  <si>
    <r>
      <t>Hidrofors DE800, 10bar/70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V=800l</t>
    </r>
  </si>
  <si>
    <t>PP-R  plastmasas caurule Dn40, PN10</t>
  </si>
  <si>
    <t>PP  trejgabals Dn40</t>
  </si>
  <si>
    <t>Metinamais lodveida ventilis DN40</t>
  </si>
  <si>
    <t>Vadības bloks art.sukņu vadībai ar spiediena sensoru, ūdens līmeņa devējam, komplektā ar savienošiem kabeļiem (sk.pask.raksta 3.4 punkta)</t>
  </si>
  <si>
    <t xml:space="preserve">  Betons B 20</t>
  </si>
  <si>
    <r>
      <t>m</t>
    </r>
    <r>
      <rPr>
        <vertAlign val="superscript"/>
        <sz val="10"/>
        <rFont val="Arial"/>
        <family val="2"/>
      </rPr>
      <t>3</t>
    </r>
  </si>
  <si>
    <t>Betons B7,5</t>
  </si>
  <si>
    <t>Ruberoīds 2 kārtas</t>
  </si>
  <si>
    <t>Bitumena mastika</t>
  </si>
  <si>
    <t>kg.</t>
  </si>
  <si>
    <t>Stiegru siets Ø8/Ø8 s150/150</t>
  </si>
  <si>
    <r>
      <t>m</t>
    </r>
    <r>
      <rPr>
        <vertAlign val="superscript"/>
        <sz val="10"/>
        <rFont val="Arial"/>
        <family val="2"/>
      </rPr>
      <t>2</t>
    </r>
  </si>
  <si>
    <t>Antiseptizētas margas 50x50mm</t>
  </si>
  <si>
    <t>Materiāli veidņiem (saplāksnis, zāģmateriāli, balsti u.c)</t>
  </si>
  <si>
    <t>Betons B25</t>
  </si>
  <si>
    <t>Gludais atloks tērauda caurulēm  DN 100</t>
  </si>
  <si>
    <t>Noslēgatloks DN100</t>
  </si>
  <si>
    <t>Bez šuvju hidroizolācija materiāls 2 kārtas</t>
  </si>
  <si>
    <t>Taisnstūrveida caurules 120x60x6</t>
  </si>
  <si>
    <t xml:space="preserve">  Propāns</t>
  </si>
  <si>
    <t>bal</t>
  </si>
  <si>
    <t>Java B-12.5</t>
  </si>
  <si>
    <t>Antiseptizēti zāģmateriāli</t>
  </si>
  <si>
    <t>Ruberoīds</t>
  </si>
  <si>
    <t>Plakandzelzs 25x25, l=1000, 12gb.</t>
  </si>
  <si>
    <t>Montāžas palīgmateriāli( būvkalumi, skruves, naglas)</t>
  </si>
  <si>
    <t>Antiseptizētas latas 32x100mm ar soli 450</t>
  </si>
  <si>
    <t>Montāžas palīgmateriāli (skruves, naglas)</t>
  </si>
  <si>
    <t>Pretkondensāta plēve</t>
  </si>
  <si>
    <t>Jumta lūka 600x600</t>
  </si>
  <si>
    <t>Akmens vate Paroc WAS 25 b=30mm</t>
  </si>
  <si>
    <r>
      <t>m</t>
    </r>
    <r>
      <rPr>
        <vertAlign val="superscript"/>
        <sz val="10"/>
        <rFont val="Arial"/>
        <family val="2"/>
      </rPr>
      <t>2</t>
    </r>
  </si>
  <si>
    <t>Akmens vate Paroc UNS 37 b=100mm</t>
  </si>
  <si>
    <t>Tvaika izolācija</t>
  </si>
  <si>
    <t xml:space="preserve"> Krāsots dēlis jumta malām 25x120</t>
  </si>
  <si>
    <t>Logs L-1</t>
  </si>
  <si>
    <t>Logs L-2</t>
  </si>
  <si>
    <t xml:space="preserve">Palodze (ārējā) skārda </t>
  </si>
  <si>
    <t>Montāžs palīgmateriāli (skrūves, blīvēšanas, apdares materiāli, apdares līstes u.c.)</t>
  </si>
  <si>
    <t>Durvis D-1</t>
  </si>
  <si>
    <t>Kompensacijas šuve 2.kārtas ruberoīda</t>
  </si>
  <si>
    <t>Esošā ūdenstorņa rekonstrukcija</t>
  </si>
  <si>
    <t>Tērauda jumta seguma nojaukšana</t>
  </si>
  <si>
    <t>Latojuma demontāža</t>
  </si>
  <si>
    <t>Tērauda cauruļu ar veidgabaliem demontāža</t>
  </si>
  <si>
    <t>Dzelzsbetona  pārseguma zem rezervuāra  demontāža</t>
  </si>
  <si>
    <t>Grīdas betona pamatojuma demontāža (pagrabā)</t>
  </si>
  <si>
    <t>Nojaukto konstrukciju un būvgružu savākšana un iekraušana pašizgāzējos</t>
  </si>
  <si>
    <t>Pārslēgšana esoša ūdensvada OD32</t>
  </si>
  <si>
    <t>Dzeramā ūdens rezervuārs ar tilpumu 22,3m3, diametrā 3,06m, augstumā 3,6m ar ar standarta aprīkojumu: galvanizēta tērauda loksnes, aluminija pārsegs, 1,0 mm biezs ieklājums- membrāna, apkalpes trepes, nerūsējoša tērauda savienojumi stāvvadu pievienošanai.</t>
  </si>
  <si>
    <t>Līmeņa devēja uzstādīšana</t>
  </si>
  <si>
    <t>Nerūsējošo tērauda cauruļu ar veidgabaliem uzstādīšana</t>
  </si>
  <si>
    <r>
      <t>NT DN 100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</si>
  <si>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100 līkums 45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</si>
  <si>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25 līkums 20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</si>
  <si>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t xml:space="preserve">Ventīļu, aizbīdņu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</si>
  <si>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 OD 110</t>
    </r>
  </si>
  <si>
    <t xml:space="preserve">Hidrofora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</si>
  <si>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Dn40</t>
    </r>
  </si>
  <si>
    <r>
      <t>m</t>
    </r>
    <r>
      <rPr>
        <b/>
        <vertAlign val="superscript"/>
        <sz val="10"/>
        <rFont val="Arial"/>
        <family val="2"/>
      </rPr>
      <t>2</t>
    </r>
  </si>
  <si>
    <t>Betona sagatavošanas kārtas ierīkošana grīdai (50mm)</t>
  </si>
  <si>
    <t>Hidroizolācijas ierīkošana grīdai</t>
  </si>
  <si>
    <t>Grīdas konstrukcijas stiegrošana</t>
  </si>
  <si>
    <r>
      <t>m</t>
    </r>
    <r>
      <rPr>
        <i/>
        <vertAlign val="superscript"/>
        <sz val="10"/>
        <rFont val="Arial"/>
        <family val="2"/>
      </rPr>
      <t>2</t>
    </r>
  </si>
  <si>
    <t>Grīdas betonēšana (50mm)</t>
  </si>
  <si>
    <t>Pārseguma stiegrojuma apstrāde ar pretkorozijas aizsardzību</t>
  </si>
  <si>
    <t>Antiseptizētas kāpņu brusas 200x70mm</t>
  </si>
  <si>
    <t>Antiseptizētais kāplis 250x50mm</t>
  </si>
  <si>
    <t>Margas uzstādīšana trepēm</t>
  </si>
  <si>
    <t>Antiseptizētas margas trepēm 50x50mm</t>
  </si>
  <si>
    <t>Margas uzstādīšana pārseguma laukumiem</t>
  </si>
  <si>
    <t>Kondensata savakšanas sistēmas  izbūve</t>
  </si>
  <si>
    <r>
      <t>m</t>
    </r>
    <r>
      <rPr>
        <b/>
        <vertAlign val="superscript"/>
        <sz val="10"/>
        <rFont val="Arial"/>
        <family val="2"/>
      </rPr>
      <t>2</t>
    </r>
  </si>
  <si>
    <t>Nesošo koka konstrukciju  uzstādīšana</t>
  </si>
  <si>
    <r>
      <t>m</t>
    </r>
    <r>
      <rPr>
        <b/>
        <vertAlign val="superscript"/>
        <sz val="10"/>
        <rFont val="Arial"/>
        <family val="2"/>
      </rPr>
      <t>3</t>
    </r>
  </si>
  <si>
    <t>Latojuma ierīkošana jumta segumam</t>
  </si>
  <si>
    <t>Pretkondensāta plēves ierīkošana</t>
  </si>
  <si>
    <t>Retināta dēļu pašuvums</t>
  </si>
  <si>
    <t>Tvaika izolācijas ieklāšana</t>
  </si>
  <si>
    <t>Jumta pārkares apšūšana ar apdares dēļiem</t>
  </si>
  <si>
    <t>Logu bloku komplektā ar palodzēm un uzstādīšana ieskaitot iekšējo un ārējo ailu sānmalu apdari</t>
  </si>
  <si>
    <t>Durvju bloku montāža komplektā ar visiem montāžas palīgmateriāliem, ieskaitot durvju ailu sānmalu apdare</t>
  </si>
  <si>
    <t>Sadales korpus ar N un PE klemmi, S1virs apmetuma, metāla, KV-26-08-05  800X500X260</t>
  </si>
  <si>
    <t>gab</t>
  </si>
  <si>
    <t>Ievada slēdzis, 3/63A</t>
  </si>
  <si>
    <t>Grupu automāts B10</t>
  </si>
  <si>
    <t>3C16</t>
  </si>
  <si>
    <t>3C25</t>
  </si>
  <si>
    <t>3C40</t>
  </si>
  <si>
    <t>Diferenciālā strāvas aizsardzība, 1N/16/0,03</t>
  </si>
  <si>
    <t>Automātu savienojošā kopne, 1m. 400V 100A</t>
  </si>
  <si>
    <t>Kopnes galu nosegvāki</t>
  </si>
  <si>
    <t>El.rozete bloks virsapm., IP 44 , I nom = 16 A , U = 230/400 V</t>
  </si>
  <si>
    <t>Nozarkārbas, HP 70 IP54</t>
  </si>
  <si>
    <t>Gaismeklis plafons Lena ar spuldzi, pie griestiem, sienas., 100 W 230V IP65</t>
  </si>
  <si>
    <t>Kabeļ dzīslu savienotāji, TORIX6</t>
  </si>
  <si>
    <t xml:space="preserve"> Kabelis - NYY 5 * 2,5 mm2</t>
  </si>
  <si>
    <r>
      <t>NYY  3 * 2,5 mm</t>
    </r>
    <r>
      <rPr>
        <vertAlign val="superscript"/>
        <sz val="8"/>
        <rFont val="LT Arial"/>
        <family val="0"/>
      </rPr>
      <t>2</t>
    </r>
  </si>
  <si>
    <r>
      <t>NYY  3 * 1,5 mm</t>
    </r>
    <r>
      <rPr>
        <vertAlign val="superscript"/>
        <sz val="8"/>
        <rFont val="LT Arial"/>
        <family val="0"/>
      </rPr>
      <t>2</t>
    </r>
  </si>
  <si>
    <r>
      <t>NYY  5 * 16 mm</t>
    </r>
    <r>
      <rPr>
        <vertAlign val="superscript"/>
        <sz val="8"/>
        <rFont val="LT Arial"/>
        <family val="0"/>
      </rPr>
      <t>2</t>
    </r>
  </si>
  <si>
    <r>
      <t>NYY  5 * 6 mm</t>
    </r>
    <r>
      <rPr>
        <vertAlign val="superscript"/>
        <sz val="8"/>
        <rFont val="LT Arial"/>
        <family val="0"/>
      </rPr>
      <t>2</t>
    </r>
  </si>
  <si>
    <r>
      <t>NYY  5 * 1,5 mm</t>
    </r>
    <r>
      <rPr>
        <vertAlign val="superscript"/>
        <sz val="8"/>
        <rFont val="LT Arial"/>
        <family val="0"/>
      </rPr>
      <t>2</t>
    </r>
  </si>
  <si>
    <t>Kabeļ aizsarg caurule, TXM-M20</t>
  </si>
  <si>
    <t>TXM-M32</t>
  </si>
  <si>
    <t>Kabeļ aizsarg caurule, PVC20  L=3m</t>
  </si>
  <si>
    <t xml:space="preserve">Kabeļ aizsarg caurules stiprinājumi, PVC20  </t>
  </si>
  <si>
    <t>Kabeļ aizsarg caurules 90grādu leņķi PVC20</t>
  </si>
  <si>
    <t>El.slēdzis pārsl virsapm. IP 44 , I nom = 10 A , U = 230 V</t>
  </si>
  <si>
    <t>Zemējuma stieņi, 219/20 OMEX 20x1500mm</t>
  </si>
  <si>
    <t>Zemējuma apaļdzelzis, RD10 FT</t>
  </si>
  <si>
    <t>Savienotāj klemme 2760/20 8-10/FL40 FT</t>
  </si>
  <si>
    <t>Uztvērēj stieples savienojumi 249/ST RD8-10</t>
  </si>
  <si>
    <t>Stieņa spice TE 20</t>
  </si>
  <si>
    <t>Savienotāj klemme 237/N RD8-10</t>
  </si>
  <si>
    <t>Pretkorozijas lenta</t>
  </si>
  <si>
    <t>Zibens uztvērēj stieple RD8/ALU</t>
  </si>
  <si>
    <t>Zibens uztvērējs 101/F-1500</t>
  </si>
  <si>
    <t>El. sildītājs ar vadību 3 kW 230V</t>
  </si>
  <si>
    <t>1. Demontāžas darbi</t>
  </si>
  <si>
    <t>1.001</t>
  </si>
  <si>
    <t>1.002</t>
  </si>
  <si>
    <t>1.003</t>
  </si>
  <si>
    <t>1.004</t>
  </si>
  <si>
    <t>1.005</t>
  </si>
  <si>
    <t>1.006</t>
  </si>
  <si>
    <t>1.007</t>
  </si>
  <si>
    <t>1.008</t>
  </si>
  <si>
    <t>1.009</t>
  </si>
  <si>
    <t>1.010</t>
  </si>
  <si>
    <t>1.011</t>
  </si>
  <si>
    <t>1.012</t>
  </si>
  <si>
    <t>Jumta nesošo koka konstrukciju demontāža</t>
  </si>
  <si>
    <t>Esošās  ūdens tvertnes ar apsaisti un stiprinājuma kronšteiniem  demontāža (tērauda tvertne tilpums līdz 30m3) nocelt no 20m virs zemes līmeņa</t>
  </si>
  <si>
    <t>Tērauda cauruļu ar veidgabaliem demontāža sagarinot ~3m posmos</t>
  </si>
  <si>
    <t>Lodveida, tukšošanas, atgaisošanas ventīļu/aizbīdņu demontāža</t>
  </si>
  <si>
    <t xml:space="preserve">Metāla siju (dubult-T profils 200, 21kg/m)  demontāža </t>
  </si>
  <si>
    <t>Koka kāpņu ar kāpšļiem 60cm platumā nojaukšana</t>
  </si>
  <si>
    <t>Koka pārseguma siju (līdz 200x300), garumā līdz 3m demontāža</t>
  </si>
  <si>
    <t>Koka dēļu klāju nojaukšana  nojaukšana</t>
  </si>
  <si>
    <t>Durvju bloku ar aplīstojumu  demontāža</t>
  </si>
  <si>
    <t>Koka logu bloka ar palodzēm demontāža</t>
  </si>
  <si>
    <t>Grīdas betona seguma līdz 100mm demontāža</t>
  </si>
  <si>
    <t>Būvgružu transportēšana līdz 5km</t>
  </si>
  <si>
    <t>Būvgružu utilizēšana vai nodošana izgāztuvē</t>
  </si>
  <si>
    <t>Ūdenstornis</t>
  </si>
  <si>
    <t>Ūdens atdzelžošanas ēka</t>
  </si>
  <si>
    <t>Ūdens torņa atslēgšana uz rekonstrukcijas laiku</t>
  </si>
  <si>
    <t>2. Sagatavošanas darbi</t>
  </si>
  <si>
    <t>Objekta mobilizācija</t>
  </si>
  <si>
    <t>obj.</t>
  </si>
  <si>
    <t>Pārēja uz flanci Dn25 uz OD110(flancis)</t>
  </si>
  <si>
    <t>Uzmava Dn25/OD32</t>
  </si>
  <si>
    <r>
      <t>m</t>
    </r>
    <r>
      <rPr>
        <b/>
        <vertAlign val="superscript"/>
        <sz val="9"/>
        <rFont val="Arial"/>
        <family val="2"/>
      </rPr>
      <t>3</t>
    </r>
  </si>
  <si>
    <t>Pagaidu piebraucamā ceļa izbūve ūdenstornim (blietētas šķembas 250mm)</t>
  </si>
  <si>
    <t>šķembas fr.0-45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</si>
  <si>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</si>
  <si>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</si>
  <si>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</si>
  <si>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</si>
  <si>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</si>
  <si>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</si>
  <si>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</si>
  <si>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</si>
  <si>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</si>
  <si>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</si>
  <si>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</si>
  <si>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</si>
  <si>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</si>
  <si>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</si>
  <si>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</si>
  <si>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</si>
  <si>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</si>
  <si>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</si>
  <si>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3. ūdens rezervuāra montāža un apsaiste</t>
  </si>
  <si>
    <t>Dzeramā ūdens rezervuāra (līdz 2,5t) montāža 20m augstumā</t>
  </si>
  <si>
    <t>Pievadkabelis no vadības bloka uz līmeņa devēju</t>
  </si>
  <si>
    <t>Atloks ner. tērauda caurulēm  DN 100</t>
  </si>
  <si>
    <t>Atloks ner. tērauda caurulēm  DN 25</t>
  </si>
  <si>
    <t>kpl.</t>
  </si>
  <si>
    <r>
      <t xml:space="preserve">Palīgmateriāli cauruļu un veidgabalu montāžai (33m cauruļu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114,3)</t>
    </r>
  </si>
  <si>
    <t>Ūdens rezervuāra izolācijas ierīkošana</t>
  </si>
  <si>
    <t>Kanalizācijas  cauruļu ar veidgabaliem uzstādīšana</t>
  </si>
  <si>
    <t>Isover KIM paklājs ar stiklašķiedras pārklājumu 50mm vai analogs (blīvums 25kg/m3; 0,037 W/m*K)</t>
  </si>
  <si>
    <t>Stiprinājuma lenta</t>
  </si>
  <si>
    <t>PP caurule OD 110</t>
  </si>
  <si>
    <t>Cauruļvadu Dn100 un PP OD110 savienojuma izveidošana</t>
  </si>
  <si>
    <t>PP caurules OD 110  stāvvada piestiprināšana</t>
  </si>
  <si>
    <t>4. Hidrofora uzstādīšana atdzelžošanas ēkā</t>
  </si>
  <si>
    <t>Montāžas palīgmateriāli un stiprinājumi rezervuāra uzstādīšanai un apsaistei</t>
  </si>
  <si>
    <r>
      <t xml:space="preserve">Akmens vates caurļvadu </t>
    </r>
    <r>
      <rPr>
        <sz val="10"/>
        <rFont val="Calibri"/>
        <family val="2"/>
      </rPr>
      <t>Ø25</t>
    </r>
    <r>
      <rPr>
        <i/>
        <sz val="10"/>
        <rFont val="Arial"/>
        <family val="2"/>
      </rPr>
      <t xml:space="preserve"> siltumtizolācija ar biezumu 30mm</t>
    </r>
  </si>
  <si>
    <r>
      <t xml:space="preserve">Akmens vates čaulas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100 siltumtizolācija ar biezumu 30mm; blīvums 100 kg/m3, siltumpretestība 0,034 W/m*K</t>
    </r>
  </si>
  <si>
    <r>
      <t xml:space="preserve">Caurļvadu un veidgabalu izolācijas(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 200mm) ierīkošana</t>
    </r>
  </si>
  <si>
    <t>PP-R cauruļu ar diametru līdz 110 ar veidgabaliem uzstādīšana</t>
  </si>
  <si>
    <r>
      <t xml:space="preserve">Metināmu ventīļu 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līdz 100 uzstādīšana </t>
    </r>
  </si>
  <si>
    <t>5. Frekvenču pārveidotāja uzstādīšana</t>
  </si>
  <si>
    <t>Frekvenču pārveidotājs  ar apsildāmu sadalni art.sūkņu (16kW, 40A, IP44) vadībai sk. paskaidrojuma rakstu 3.4 p.</t>
  </si>
  <si>
    <t>Frevenču pārveidotāja, vadības bloka uzstādīšana pievienojot spiediena/līmeņa devējus un elektroapgādes kabeli</t>
  </si>
  <si>
    <t>6. Vispārceltnieciskie darbi pagrabā</t>
  </si>
  <si>
    <t>Monolītā betona stabveida balsta izbūve , betons B20 apjoms &lt;0,5m3; uzstādot  un demontējot veidņus</t>
  </si>
  <si>
    <t>Šķembu pamatkārtasierīkošana grīdai (150mm)</t>
  </si>
  <si>
    <t>Šķembas fr. 0-45</t>
  </si>
  <si>
    <t>Sienu apmetums līdz 15mm biezumā  no cementa-kaļķa javas vai gatavā apmetuma mitrām telpām.</t>
  </si>
  <si>
    <t>Apmetuma masa mitrām telpām</t>
  </si>
  <si>
    <t xml:space="preserve">Knauf TS 100 vai analogs sausais maisījums </t>
  </si>
  <si>
    <t xml:space="preserve">Griestu apmetums 5mm biezumā  no kaļķa-cementa javas vai gatavā apmetuma maisījuma </t>
  </si>
  <si>
    <t>Cementa-kaļķa java vai apmetuma maisījums mitrām telpām</t>
  </si>
  <si>
    <t>Metāla kapņu attīrīšana no rūsas, gruntēšana un krāsošana</t>
  </si>
  <si>
    <t xml:space="preserve">  Pretkorozijas grunts/krāsa Hammerit vai analogs 0,75L</t>
  </si>
  <si>
    <t>7. Slietņu trepes</t>
  </si>
  <si>
    <t>Koka slietņu trepes  ierīkošana no gataviem elementiem (kāpņu maršs 700x3000)</t>
  </si>
  <si>
    <t>Koka konstrukcijas pstrāde ar antipirēniem</t>
  </si>
  <si>
    <t>Koksnes pretuguns aizsargsastāvs FAP vai analogs</t>
  </si>
  <si>
    <t>Būvkalumi, skrūves</t>
  </si>
  <si>
    <t>Margu konstrukcijas apstrāde ar antipirēniem</t>
  </si>
  <si>
    <t>8. Monolītā dzelzsbetona pārseguma izbūve uz augst. Atz. 16,90</t>
  </si>
  <si>
    <t>Monolīto dzelzbetona pārseguma plātņu izbūve uzstādot-demontējot veidņus, iestrādājot betonu to padodot ar sūkni, metāla stiegrojuma iestrāde</t>
  </si>
  <si>
    <t>Armatūra Ø12 A III (136m)</t>
  </si>
  <si>
    <t>Armatūra Ø14 A III (136m)</t>
  </si>
  <si>
    <t>Nerūsējošo tērauda īscauruļu ar atlokiem montāža dz. pārseguma platnē</t>
  </si>
  <si>
    <r>
      <t xml:space="preserve">Tērauda armatūras stiegru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līdz16mm sagatavošana un montāža</t>
    </r>
  </si>
  <si>
    <t>Pašizlidzinošās betona grīdas maisījums, 5-30mm</t>
  </si>
  <si>
    <t>9. Koka uz metāla sijām kāpņu laukumu izbūve</t>
  </si>
  <si>
    <t>Metāla siju gruntēšana un krāsošana ar  krāsu metāla virsmām vienā kārtā</t>
  </si>
  <si>
    <t>Grunts krāsa metālam</t>
  </si>
  <si>
    <t xml:space="preserve">  Krāsa Vivacolor Universal vai analoga</t>
  </si>
  <si>
    <t>Metāla siju  līdz 20kg uzstādīšana, izveidojot nišas mūra sienā, pebetonējumi b=100mm, javas izlīdzinošā slāņa izveide un rievu aizpildīšana ar cementa javu  ap sijām</t>
  </si>
  <si>
    <t xml:space="preserve">  Betons B20</t>
  </si>
  <si>
    <t>Apzāģēti antiseptēti dēļi grīdai b=40mm</t>
  </si>
  <si>
    <t>Koka grīdas ierīkošana no apzāģētiem dēļiem</t>
  </si>
  <si>
    <t>Montāžas palīgmateriāli dēļu stiprināšanai (papildus latas, skrūves, bulskrūves u.c.)</t>
  </si>
  <si>
    <t>Koka dēļu klāja virsmu apstrāde ar antipirēniem</t>
  </si>
  <si>
    <t>10. Jumta izbūve</t>
  </si>
  <si>
    <t>Vēdināsānas caurules ierīkošana šķērsojot nesiltinātu savietotā jumta konstrukciju caurule &lt;200mm, garums līdz1,5m</t>
  </si>
  <si>
    <t>Cinkota tērauda gaisa vads Ø100 ar pretinsektu sietu, stiprinājuma aploci, uzjumteni kpējais garums &lt;1,5m</t>
  </si>
  <si>
    <t>Siltumizolācijas ieklāšana savietotā jumta konstrukcijā</t>
  </si>
  <si>
    <t>Antiseptizēti apzēģēti dēļi 25mm</t>
  </si>
  <si>
    <t>Bituma mastika Izoflex vai analogs</t>
  </si>
  <si>
    <r>
      <t>Ruļļveida kausējams jumta seguma virskārta elast.līdz -20</t>
    </r>
    <r>
      <rPr>
        <sz val="10"/>
        <rFont val="Calibri"/>
        <family val="2"/>
      </rPr>
      <t>˚</t>
    </r>
    <r>
      <rPr>
        <i/>
        <sz val="10"/>
        <rFont val="Arial"/>
        <family val="2"/>
      </rPr>
      <t>C</t>
    </r>
  </si>
  <si>
    <t>Cinkotais skārds 0,5-0,55mm</t>
  </si>
  <si>
    <t>Montāžas palīgmateriāli 15 m2 cinkota skārda jumta seguma izbūvei</t>
  </si>
  <si>
    <t xml:space="preserve">Jumta iesegšana no cinkotā skārda 0,55mm, vidēji sarežģits </t>
  </si>
  <si>
    <t>Jumta lūkas izbūve cinkota skārda jumta seguma konstrukcijā</t>
  </si>
  <si>
    <t>Palīgmateriāli pieslēgumu izveidošanai</t>
  </si>
  <si>
    <t>Montāžas palīgmateriāli 3m2 pašuvuma izbūvei</t>
  </si>
  <si>
    <t>11. Logu, durvju montāžas darbi</t>
  </si>
  <si>
    <t>Betona fasādes apmales izbūve 600mm, izņemt grunti, iebūvēt škembu pamatojumu 100mm, izveidot betona apmali vid. 100mm platums 600</t>
  </si>
  <si>
    <t>Betons B15, F50, W-netiek normēts</t>
  </si>
  <si>
    <t>Būvgružu novākšana, būvlaukuma sakārtošana būvniecības gaitā un pirms objekta nodošanas</t>
  </si>
  <si>
    <t>Zālāja sēklas</t>
  </si>
  <si>
    <t>Augu zemes iestrāde, h=0,15, izmantojot zemi no atbērtnes+ 10% pievesta (sabojātais labiekārtojums būvniecības gaitā)</t>
  </si>
  <si>
    <t>Augu zemes noņemšana h-15cm</t>
  </si>
  <si>
    <t>Augu zeme</t>
  </si>
  <si>
    <t>12. Labiekārtošanas darbi</t>
  </si>
  <si>
    <t>13. Iekšējā elektroapgāde</t>
  </si>
  <si>
    <t>Grupu sadalnes 800x500 V/A montāža ar N un PE klemmēm</t>
  </si>
  <si>
    <t>Slēdžu, automātu kopņu un kabeļu montāža sadalnē</t>
  </si>
  <si>
    <t>Slēdžu, rozešu, gaismas ķermeņu, nozarkārbu un iekārtu līdz 5kw iebūve un pieslēgšana ieskaitot kabeļu galu apdari</t>
  </si>
  <si>
    <t xml:space="preserve">Vara kabeļu līdz 5x6mm2 ieskaitot izbūve stiprinot pie sienas, iebūvējot konstrukcijās tos ievelkot aizsargčaulā </t>
  </si>
  <si>
    <t>Vara kabeļu no 5x10mm2 līdz 4x16mm2 ieskaitot izbūve stiprinot pie sienas, iebūvējot konstrukcijās tos ievelkot aizsargčaulā vai uz kabeļplauktiem</t>
  </si>
  <si>
    <r>
      <t xml:space="preserve">Lokano kabeļu aizsargcauruļu izbūve </t>
    </r>
    <r>
      <rPr>
        <b/>
        <sz val="10"/>
        <rFont val="Calibri"/>
        <family val="2"/>
      </rPr>
      <t xml:space="preserve">Ø </t>
    </r>
    <r>
      <rPr>
        <b/>
        <sz val="10"/>
        <rFont val="Arial"/>
        <family val="2"/>
      </rPr>
      <t>līdz 30mm, tos nostiprinot pie sienas vai pārseguma</t>
    </r>
  </si>
  <si>
    <t>PVC Ø līdz 30mm aizsargcauruļu ar veidgabaliem uzstādīšana, tās stiprinot pie konstrukcijām</t>
  </si>
  <si>
    <t>Tranšejas rakšana mehanizēti un ar rokām līdz 0,7m dziļu līdz 0,5m platu</t>
  </si>
  <si>
    <t>Tranšejas dziļums līdz 0,7m aizbēršana un  blietēšana ar kājblieti</t>
  </si>
  <si>
    <t>Zemējuma pazemes kontūra izbūve iedzenot elektrodus gruntī un savienojot ar tērauda 10mm stiepli, savienojumus notin ar pretkorozijas lentu</t>
  </si>
  <si>
    <t>Alumīnija zibensnovedēja stieples izbūve  pa ēkas fasādi stiprinot uz distanceriem</t>
  </si>
  <si>
    <t>Distanceri stieples stiprināšanai pa metāla jumtu 133/PVC 8-10 un fasādei</t>
  </si>
  <si>
    <t>Materiālu specifikāciju precizēt pirms montāžas darbu uzsākšanas.</t>
  </si>
  <si>
    <t>Dainis Lamberts</t>
  </si>
  <si>
    <t>LT-1/02/2012</t>
  </si>
  <si>
    <t>1.031</t>
  </si>
  <si>
    <t>1.032</t>
  </si>
  <si>
    <t>1.033</t>
  </si>
  <si>
    <t>1.034</t>
  </si>
  <si>
    <t>1.035</t>
  </si>
  <si>
    <t>1.036</t>
  </si>
  <si>
    <t>1.037</t>
  </si>
  <si>
    <t>1.038</t>
  </si>
  <si>
    <t>1.039</t>
  </si>
  <si>
    <t>1.040</t>
  </si>
  <si>
    <t>1.041</t>
  </si>
  <si>
    <t>1.042</t>
  </si>
  <si>
    <t>1.043</t>
  </si>
  <si>
    <t>1.044</t>
  </si>
  <si>
    <t>1.045</t>
  </si>
  <si>
    <t>1.046</t>
  </si>
  <si>
    <t>1.047</t>
  </si>
  <si>
    <t>1.048</t>
  </si>
  <si>
    <t>1.049</t>
  </si>
  <si>
    <t>1.050</t>
  </si>
  <si>
    <t>1.051</t>
  </si>
  <si>
    <t>1.052</t>
  </si>
  <si>
    <t>1.053</t>
  </si>
  <si>
    <t>1.054</t>
  </si>
  <si>
    <t>1.055</t>
  </si>
  <si>
    <t>1.056</t>
  </si>
  <si>
    <t>1.057</t>
  </si>
  <si>
    <t>1.058</t>
  </si>
  <si>
    <t>1.059</t>
  </si>
  <si>
    <t>1.060</t>
  </si>
  <si>
    <t>1.061</t>
  </si>
  <si>
    <t>1.062</t>
  </si>
  <si>
    <t>1.063</t>
  </si>
  <si>
    <t>1.064</t>
  </si>
  <si>
    <t>1.065</t>
  </si>
  <si>
    <t>1.066</t>
  </si>
  <si>
    <t>1.067</t>
  </si>
  <si>
    <t>1.068</t>
  </si>
  <si>
    <t>1.069</t>
  </si>
  <si>
    <t>1.070</t>
  </si>
  <si>
    <t>1.071</t>
  </si>
  <si>
    <t>1.072</t>
  </si>
  <si>
    <t>1.073</t>
  </si>
  <si>
    <t>1.074</t>
  </si>
  <si>
    <t>1.075</t>
  </si>
  <si>
    <t>1.076</t>
  </si>
  <si>
    <t>1.077</t>
  </si>
  <si>
    <t>1.078</t>
  </si>
  <si>
    <t>1.079</t>
  </si>
  <si>
    <t>1.080</t>
  </si>
  <si>
    <t>1.081</t>
  </si>
  <si>
    <t>1.082</t>
  </si>
  <si>
    <t>1.083</t>
  </si>
  <si>
    <t>1.084</t>
  </si>
  <si>
    <t>1.085</t>
  </si>
  <si>
    <t>1.086</t>
  </si>
  <si>
    <t>1.087</t>
  </si>
  <si>
    <t>1.088</t>
  </si>
  <si>
    <t>1.089</t>
  </si>
  <si>
    <t>1.090</t>
  </si>
  <si>
    <t>1.091</t>
  </si>
  <si>
    <t>1.092</t>
  </si>
  <si>
    <t>1.093</t>
  </si>
  <si>
    <t>1.094</t>
  </si>
  <si>
    <t>1.095</t>
  </si>
  <si>
    <t>1.096</t>
  </si>
  <si>
    <t>1.097</t>
  </si>
  <si>
    <t>1.098</t>
  </si>
  <si>
    <t>1.099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</si>
  <si>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</si>
  <si>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</si>
  <si>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</si>
  <si>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</si>
  <si>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</si>
  <si>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</si>
  <si>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</si>
  <si>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</si>
  <si>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</si>
  <si>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</si>
  <si>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</si>
  <si>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</si>
  <si>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</si>
  <si>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</si>
  <si>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</si>
  <si>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</si>
  <si>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</si>
  <si>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</si>
  <si>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</si>
  <si>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</si>
  <si>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</si>
  <si>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</si>
  <si>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</si>
  <si>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</si>
  <si>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</si>
  <si>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</si>
  <si>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</si>
  <si>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</si>
  <si>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</si>
  <si>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</si>
  <si>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</si>
  <si>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</si>
  <si>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</si>
  <si>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</si>
  <si>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</si>
  <si>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</si>
  <si>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</si>
  <si>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</si>
  <si>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</si>
  <si>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</si>
  <si>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</si>
  <si>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</si>
  <si>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</si>
  <si>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</si>
  <si>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</si>
  <si>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</si>
  <si>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</si>
  <si>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</si>
  <si>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</si>
  <si>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</si>
  <si>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</si>
  <si>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</si>
  <si>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</si>
  <si>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</si>
  <si>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</si>
  <si>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</si>
  <si>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</si>
  <si>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</si>
  <si>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</si>
  <si>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</si>
  <si>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</si>
  <si>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</si>
  <si>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</si>
  <si>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</si>
  <si>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</si>
  <si>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</si>
  <si>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</si>
  <si>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</si>
  <si>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</si>
  <si>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</si>
  <si>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</si>
  <si>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</si>
  <si>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</si>
  <si>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</si>
  <si>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</si>
  <si>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</si>
  <si>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</si>
  <si>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</si>
  <si>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</si>
  <si>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</si>
  <si>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</si>
  <si>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</si>
  <si>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</si>
  <si>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</si>
  <si>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</si>
  <si>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</si>
  <si>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</si>
  <si>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</si>
  <si>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</si>
  <si>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</si>
  <si>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</si>
  <si>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</si>
  <si>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</si>
  <si>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</si>
  <si>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</si>
  <si>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</si>
  <si>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</si>
  <si>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</si>
  <si>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</si>
  <si>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</si>
  <si>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</si>
  <si>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</si>
  <si>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</si>
  <si>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</si>
  <si>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</si>
  <si>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</si>
  <si>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</si>
  <si>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</si>
  <si>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</si>
  <si>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</si>
  <si>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</si>
  <si>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</si>
  <si>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</si>
  <si>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</si>
  <si>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</si>
  <si>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</si>
  <si>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</si>
  <si>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</si>
  <si>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</si>
  <si>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</si>
  <si>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</si>
  <si>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</si>
  <si>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</si>
  <si>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</si>
  <si>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</si>
  <si>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</si>
  <si>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</si>
  <si>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</si>
  <si>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</si>
  <si>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</si>
  <si>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</si>
  <si>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</si>
  <si>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</si>
  <si>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</si>
  <si>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</si>
  <si>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</si>
  <si>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</si>
  <si>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</si>
  <si>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</si>
  <si>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</si>
  <si>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</si>
  <si>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</si>
  <si>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</si>
  <si>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Mērvienība</t>
  </si>
  <si>
    <t>Daudzums</t>
  </si>
  <si>
    <t>(paraksts un tā atšifrējums, datums)</t>
  </si>
  <si>
    <t>Virsizdevumi (___%)</t>
  </si>
  <si>
    <t>Peļņa (___%)</t>
  </si>
  <si>
    <t>Tiešās izmaksas kopā, t.sk. darba devēja sociālais nodoklis (23,59%)</t>
  </si>
  <si>
    <t>Līguma summa kopā ar PVN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</si>
  <si>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/h)</t>
    </r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</si>
  <si>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</si>
  <si>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</si>
  <si>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</si>
  <si>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</si>
  <si>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Līgumcena kopā bez PVN</t>
  </si>
  <si>
    <t>Vienības izmaksas</t>
  </si>
  <si>
    <t>Kopā uz visu apjomu</t>
  </si>
  <si>
    <t>Kopsavilkuma aprēķins</t>
  </si>
  <si>
    <t>LT - 2</t>
  </si>
  <si>
    <t>LT - 3</t>
  </si>
  <si>
    <t>LT - 1</t>
  </si>
  <si>
    <t>Demontāžas darbi</t>
  </si>
  <si>
    <t>Ailas</t>
  </si>
  <si>
    <t>Lokālā tāme Nr. 2</t>
  </si>
  <si>
    <t>Lokālā tāme Nr. 1</t>
  </si>
  <si>
    <t>Lokālā tāme Nr. 3</t>
  </si>
  <si>
    <t>1.</t>
  </si>
  <si>
    <t>Pretendents</t>
  </si>
  <si>
    <t>Pārbaudīja</t>
  </si>
  <si>
    <t>Nr. p.k.</t>
  </si>
  <si>
    <t xml:space="preserve">Būvdarbu veids vai konstruktīvā elementa nosaukums </t>
  </si>
  <si>
    <t>Kopā</t>
  </si>
  <si>
    <t>t.sk. darba aizsardzība</t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</si>
  <si>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</si>
  <si>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</si>
  <si>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r>
      <t>Darba alga (</t>
    </r>
    <r>
      <rPr>
        <i/>
        <sz val="10"/>
        <rFont val="Arial"/>
        <family val="2"/>
      </rPr>
      <t>euro)</t>
    </r>
  </si>
  <si>
    <r>
      <t>Būvizstrādājumi (</t>
    </r>
    <r>
      <rPr>
        <i/>
        <sz val="10"/>
        <rFont val="Arial"/>
        <family val="2"/>
      </rPr>
      <t>euro)</t>
    </r>
  </si>
  <si>
    <r>
      <t>Mehānismi (</t>
    </r>
    <r>
      <rPr>
        <i/>
        <sz val="10"/>
        <rFont val="Arial"/>
        <family val="2"/>
      </rPr>
      <t>euro)</t>
    </r>
  </si>
  <si>
    <t>Summa (euro)</t>
  </si>
  <si>
    <t>Laika norma (c/h)</t>
  </si>
  <si>
    <r>
      <t>Kopā  (</t>
    </r>
    <r>
      <rPr>
        <i/>
        <sz val="10"/>
        <rFont val="Arial"/>
        <family val="2"/>
      </rPr>
      <t>euro)</t>
    </r>
  </si>
  <si>
    <r>
      <t>Kopā (</t>
    </r>
    <r>
      <rPr>
        <i/>
        <sz val="10"/>
        <rFont val="Arial"/>
        <family val="2"/>
      </rPr>
      <t>euro)</t>
    </r>
  </si>
  <si>
    <t>2.</t>
  </si>
  <si>
    <t>3.</t>
  </si>
  <si>
    <t>4.</t>
  </si>
  <si>
    <t>5.</t>
  </si>
  <si>
    <t>6.</t>
  </si>
  <si>
    <t>7.</t>
  </si>
  <si>
    <t>8.</t>
  </si>
  <si>
    <t>9.</t>
  </si>
  <si>
    <t>Sagatavošanas darbi</t>
  </si>
  <si>
    <t>10.</t>
  </si>
  <si>
    <t>11.</t>
  </si>
  <si>
    <t>12.</t>
  </si>
  <si>
    <t>TELPU GRUPAS VIENKĀRŠOTĀ ATJAUNOŠANA AR LIETOŠANAS VEIDA MAIŅU</t>
  </si>
  <si>
    <t>Pagaidu elektropieslēgums</t>
  </si>
  <si>
    <t>Būvgružu izvākšana, utilizācija</t>
  </si>
  <si>
    <t>Izlīdzinoša smilts kārta ~100mm</t>
  </si>
  <si>
    <t>Hidroizolācijas ieklāšana - armēta plēve 0,2mm virs putupolistirola, šuves salīmējot</t>
  </si>
  <si>
    <t xml:space="preserve">Koka grīdlistes (h-70mm) montāža </t>
  </si>
  <si>
    <t>Sienas</t>
  </si>
  <si>
    <t>Sienu virsmas apdare</t>
  </si>
  <si>
    <t>Sienu virsmas apmetums, apmetuma remonts</t>
  </si>
  <si>
    <t>Sienu un ailu gruntēšana, špaktelēšana</t>
  </si>
  <si>
    <t>Sienu un ailu gruntēšana pirms krāsošanas</t>
  </si>
  <si>
    <t>Griestu virsmas apdare</t>
  </si>
  <si>
    <t>Griestu virsmas gruntēšana, špaktelēšana</t>
  </si>
  <si>
    <t xml:space="preserve">Griestu virsmas gruntēšana, krāsošana 2x - mitrumizturīgā, antibakteriāla krāsā </t>
  </si>
  <si>
    <t>Ventilācijas sitēma</t>
  </si>
  <si>
    <t>Cinkotā skārda gaisavads ∅160</t>
  </si>
  <si>
    <t>Difuzors EEF 160</t>
  </si>
  <si>
    <t>Stiprinājumu komplekts: ∅160</t>
  </si>
  <si>
    <t xml:space="preserve">Ventilators uz gaisavada TD-500/160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</si>
  <si>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</si>
  <si>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</si>
  <si>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</si>
  <si>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</si>
  <si>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</si>
  <si>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</si>
  <si>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</si>
  <si>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</si>
  <si>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</si>
  <si>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</si>
  <si>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</si>
  <si>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</si>
  <si>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</si>
  <si>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</si>
  <si>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</si>
  <si>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</si>
  <si>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</si>
  <si>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</si>
  <si>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</si>
  <si>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</si>
  <si>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</si>
  <si>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</si>
  <si>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</si>
  <si>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</si>
  <si>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</si>
  <si>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</si>
  <si>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</si>
  <si>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</si>
  <si>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</si>
  <si>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</si>
  <si>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</si>
  <si>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</si>
  <si>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Grupu automāts</t>
  </si>
  <si>
    <t>Nozarkārbas</t>
  </si>
  <si>
    <t>Kabeļ dzīslu savienotāji</t>
  </si>
  <si>
    <t>Led gaismeklis ar kustības sensoru pie sienas</t>
  </si>
  <si>
    <t>Kabeļ aizsargcaurule</t>
  </si>
  <si>
    <t>Iekārtu, materiālu, izstrādājumu marka, tips</t>
  </si>
  <si>
    <t>1C16</t>
  </si>
  <si>
    <t>1C10</t>
  </si>
  <si>
    <t>IP 20 , I nom = 10 A , U = 230 V</t>
  </si>
  <si>
    <t>600x600 4000K 3207lm 230V IP44</t>
  </si>
  <si>
    <t>15W 230V IP65</t>
  </si>
  <si>
    <t>TXM-M20</t>
  </si>
  <si>
    <t>Kabelis</t>
  </si>
  <si>
    <t>Iekštelpu koka durvis ar slēdzeni 1gb. (vērtnes b=900 mm )</t>
  </si>
  <si>
    <t>Darba devēja sociālais nodoklis (23,59 %)</t>
  </si>
  <si>
    <t>LT - 4</t>
  </si>
  <si>
    <t>PVN 21 %</t>
  </si>
  <si>
    <t>Lokālā tāme Nr. 4</t>
  </si>
  <si>
    <t xml:space="preserve"> IP65</t>
  </si>
  <si>
    <t>Tāme sastādīta: _____.gada ____.____________</t>
  </si>
  <si>
    <t>Sertifikāta Nr.</t>
  </si>
  <si>
    <t xml:space="preserve">Tāme sastādīta 2017.gada tirgus cenās, pamatojoties uz paskaidrojuma rakstu. </t>
  </si>
  <si>
    <t>euro</t>
  </si>
  <si>
    <t>Tāmes izmaksas</t>
  </si>
  <si>
    <r>
      <t>Darba alga</t>
    </r>
    <r>
      <rPr>
        <i/>
        <sz val="10"/>
        <rFont val="Arial"/>
        <family val="2"/>
      </rPr>
      <t xml:space="preserve"> (euro</t>
    </r>
    <r>
      <rPr>
        <sz val="10"/>
        <rFont val="Arial"/>
        <family val="2"/>
      </rPr>
      <t>)</t>
    </r>
  </si>
  <si>
    <t>Būvdarbu nosaukums</t>
  </si>
  <si>
    <t>Vispārceltnieciskie darbi</t>
  </si>
  <si>
    <t>Elektroinstalācijas montāža</t>
  </si>
  <si>
    <t>Apkure un ventilācija</t>
  </si>
  <si>
    <t>Loga bloka, betona palodzes, PVC durvju, koka ārdurvju un ieejas metāla vārtu demontāža</t>
  </si>
  <si>
    <t>Logi</t>
  </si>
  <si>
    <t>Verama PVC logu bloka uzstādīšana</t>
  </si>
  <si>
    <t>Ārējo logailu apdare (špaktelēšanu, krāsošanu atbilstoši esošajam krāsojumam, gaišā tonī) 5 cm pa logailu perimetru</t>
  </si>
  <si>
    <t>Iekšējo logailu apdare (riģipsis, špaktelēšana) 50 cm pa logailu perimetru</t>
  </si>
  <si>
    <t>Ārējās skārda palodzes montāža b=150mm (logs L1)</t>
  </si>
  <si>
    <t>t.m</t>
  </si>
  <si>
    <t>Iekšējās lamināta palodzes montāža b=500mm</t>
  </si>
  <si>
    <t xml:space="preserve">Ieejas / āra PVC durvju un logu bloka montāža </t>
  </si>
  <si>
    <t>Loga / durvju un durvju pamatnes izveide</t>
  </si>
  <si>
    <t xml:space="preserve">Stiegrota betona pamatnes ieklāšana, betons C20/25,  b-100mm, </t>
  </si>
  <si>
    <t>Pārseguma stiegrošana  AIII ø8</t>
  </si>
  <si>
    <t>Iekštelpas lamināta palodzes/sliekšņa montāža b=500 mm</t>
  </si>
  <si>
    <t>Ārtelpas skārda palodzes / sliekšņa montāža b=200 mm</t>
  </si>
  <si>
    <t>Metāla sliekšņa montāža</t>
  </si>
  <si>
    <t>Grīda</t>
  </si>
  <si>
    <t xml:space="preserve">Putupolistirola siltumizolācijas plāksnes λD = 0,035 W/mK, 100mm Spiedes stiprība: 300 kPa </t>
  </si>
  <si>
    <r>
      <t>Stiegrota betona pamatnes ieklāšana, betons C20/25,  b-</t>
    </r>
    <r>
      <rPr>
        <b/>
        <sz val="10"/>
        <color indexed="8"/>
        <rFont val="Arial Baltic"/>
        <family val="0"/>
      </rPr>
      <t>100</t>
    </r>
    <r>
      <rPr>
        <sz val="10"/>
        <color indexed="8"/>
        <rFont val="Arial Baltic"/>
        <family val="2"/>
      </rPr>
      <t xml:space="preserve">mm, stiegras Bp-I ø3, s-200x200 </t>
    </r>
  </si>
  <si>
    <t>Betona pamatnes izlīdzināšana ar grīdas pašizlīdinošo sastāvu,  b~0.5mm</t>
  </si>
  <si>
    <r>
      <t>Heterogēns PVC linoleja b-2,0mm, 34/43 klase, antibakteriāls, nodilumizturības grupa T</t>
    </r>
    <r>
      <rPr>
        <sz val="10"/>
        <color indexed="8"/>
        <rFont val="Arial"/>
        <family val="2"/>
      </rPr>
      <t xml:space="preserve">≤0,08mm parklāts ar PUR , nodiluma slānņa biezums b-0,70mm trīra PVC, noturība uz slīdēšanu R10, elektrostatiskās īpašības R </t>
    </r>
    <r>
      <rPr>
        <sz val="10"/>
        <color indexed="8"/>
        <rFont val="Arial"/>
        <family val="2"/>
      </rPr>
      <t>&lt;</t>
    </r>
    <r>
      <rPr>
        <sz val="10"/>
        <color indexed="8"/>
        <rFont val="Arial"/>
        <family val="2"/>
      </rPr>
      <t>10</t>
    </r>
    <r>
      <rPr>
        <vertAlign val="superscript"/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Ω</t>
    </r>
    <r>
      <rPr>
        <sz val="9.3"/>
        <color indexed="8"/>
        <rFont val="Arial"/>
        <family val="2"/>
      </rPr>
      <t xml:space="preserve">, izturība pret ķīmiskām vielām - </t>
    </r>
    <r>
      <rPr>
        <sz val="10"/>
        <color indexed="8"/>
        <rFont val="Arial Baltic"/>
        <family val="2"/>
      </rPr>
      <t xml:space="preserve">vai analoga materiāla ieklāšana </t>
    </r>
  </si>
  <si>
    <t>Sienu apšūšana ar divām kārtām riģipša uz metāla karkasa b=100 mm siltināta ar akmens vates plāksnēm (Siltumvadītspēju λD = 0.035 W/mK, Ugunsdr. klasifikācija A1) un Elpojošu tvaika izolāciju (Gaisa pretestība s/100ml: 57)  starp akmens vati un riģipsi</t>
  </si>
  <si>
    <t>Sienu apšūšana ar divām kārtām riģipša uz metāla karkasa b=200 mm siltināta ar akmens vates plāksnēm (Siltumvadītspēju λD = 0.035 W/mK, Ugunsdr. klasifikācija A1) un Elpojošu tvaika izolāciju (Gaisa pretestība s/100ml: 57)  starp akmens vati un riģipsi</t>
  </si>
  <si>
    <t>Vertikālo stāvvadu kanālu aizšūšana ar mitrumizturīgo ģipškartona loksni (12,5mm) pametāla karkasu</t>
  </si>
  <si>
    <t>Sienu krāsošana (89,96 m2 RGB vērtība: 212, 221, 181 un 20,82 m2  RGB vērtība: 63, 64, 65)</t>
  </si>
  <si>
    <t>Griestu pašuvums ar ģipškartona loksnēm pa metāla karkasu</t>
  </si>
  <si>
    <t>Papildus stiprinājuma motāža aizkaru stangai un projektora ekrānam</t>
  </si>
  <si>
    <t xml:space="preserve">m </t>
  </si>
  <si>
    <r>
      <t xml:space="preserve">Griestu pārseguma siltināšana ar nedegošu akmens vates siltumizolāciju (b=30 mm) ar Ugunsreakcijas klase A1, Īpatnējā Siltumvadītspēja λD0,033 W/mK un gaisa caurlaidības koeficients K </t>
    </r>
    <r>
      <rPr>
        <sz val="10"/>
        <color indexed="8"/>
        <rFont val="Symbol"/>
        <family val="1"/>
      </rPr>
      <t>&lt;</t>
    </r>
    <r>
      <rPr>
        <sz val="10"/>
        <color indexed="8"/>
        <rFont val="Arial Baltic"/>
        <family val="2"/>
      </rPr>
      <t xml:space="preserve"> 35 x 10-6 m3/m2Pas.</t>
    </r>
  </si>
  <si>
    <t>Āra, siltinātas koka durvis ar slēdzeni 1gb. (vērtnes b=900 mm)</t>
  </si>
  <si>
    <t>UGUNSDROŠĪBAS UN TRAUKSMES SIGNALIZĀCIJAS MONTĀŽA</t>
  </si>
  <si>
    <t>Signalizācijas panelis ar paplašinātāju</t>
  </si>
  <si>
    <t>Apsardzes panelis 4-12 zonas 2 rajoni</t>
  </si>
  <si>
    <t>Akumulators</t>
  </si>
  <si>
    <t>7 A/h   12 V</t>
  </si>
  <si>
    <t>Siltuma detektors</t>
  </si>
  <si>
    <t>NB-323-2</t>
  </si>
  <si>
    <t>Dūmu detektors</t>
  </si>
  <si>
    <t>Q01-2</t>
  </si>
  <si>
    <t>Rokas trauksmes poga</t>
  </si>
  <si>
    <t>FP/3RD</t>
  </si>
  <si>
    <t>Skaņas signāls (iekšējais)</t>
  </si>
  <si>
    <t>AH-0218</t>
  </si>
  <si>
    <t>Skaņas signāls (ārējais) LED</t>
  </si>
  <si>
    <t>AH-03127BS</t>
  </si>
  <si>
    <t>JB-701WH CQR</t>
  </si>
  <si>
    <t>Signalizācijas kabelis (EL 30 min)</t>
  </si>
  <si>
    <t>Nedegošs ekranēts kabelis 4x0,5</t>
  </si>
  <si>
    <t>Signalizācijas kabelis J-YY</t>
  </si>
  <si>
    <t>KLMA 1x2x0,8</t>
  </si>
  <si>
    <t>Kabelis (el.sadale - panelis (EL 30 min))</t>
  </si>
  <si>
    <t>Nedegošs ekranēts kabelis 3x1,5</t>
  </si>
  <si>
    <t>Ievada elektro automāts</t>
  </si>
  <si>
    <t>ABB 1C10</t>
  </si>
  <si>
    <t>PVH caurule</t>
  </si>
  <si>
    <t>FFKu-EL-F-HO-16</t>
  </si>
  <si>
    <t>Kabeļkanāli</t>
  </si>
  <si>
    <t>15x15</t>
  </si>
  <si>
    <t>Montāžas komplekts</t>
  </si>
  <si>
    <t>kmpl.</t>
  </si>
  <si>
    <t>Programmēšana obj.</t>
  </si>
  <si>
    <t>Sadale S1 42 mod. Zem apmetuma</t>
  </si>
  <si>
    <t>IP20</t>
  </si>
  <si>
    <t>Ievada slēdzis</t>
  </si>
  <si>
    <t>3/32A</t>
  </si>
  <si>
    <t>3C32</t>
  </si>
  <si>
    <t>1C20</t>
  </si>
  <si>
    <t>Automātu savienojošā kopne</t>
  </si>
  <si>
    <t>12mod. 400V</t>
  </si>
  <si>
    <t>El.rozete  mehānisms+ PE</t>
  </si>
  <si>
    <t xml:space="preserve"> I nom = 16 A , U = 230 V</t>
  </si>
  <si>
    <t xml:space="preserve">El.rozete divvietīgie rāmīši </t>
  </si>
  <si>
    <t>IP 20</t>
  </si>
  <si>
    <t xml:space="preserve">El.slēdzis  z/apm. </t>
  </si>
  <si>
    <t xml:space="preserve">El.slēdzis divtaust. z/apm. </t>
  </si>
  <si>
    <t>ENSTO termināls</t>
  </si>
  <si>
    <t>AI/Cu KE 66</t>
  </si>
  <si>
    <t>AI/Cu KE 66.2</t>
  </si>
  <si>
    <t>AI/Cu KE 66.3</t>
  </si>
  <si>
    <t>Led gaismeklis griestos</t>
  </si>
  <si>
    <t>300x600 24W 230V IP44</t>
  </si>
  <si>
    <t>Led evakuācijas gaismeklis pie sienas</t>
  </si>
  <si>
    <t>10W 230V IP65</t>
  </si>
  <si>
    <t>NYY 3 * 2,5 mm2</t>
  </si>
  <si>
    <t>NYY 3 * 1,5 mm3</t>
  </si>
  <si>
    <t>TXM-M25</t>
  </si>
  <si>
    <t>TXM-M40</t>
  </si>
  <si>
    <t>Sazemējums</t>
  </si>
  <si>
    <t>Zemējuma elektrodi</t>
  </si>
  <si>
    <t>Zemējuma apaļdzelzis</t>
  </si>
  <si>
    <t>RD10 FT</t>
  </si>
  <si>
    <t>Savienotāj klemme</t>
  </si>
  <si>
    <t>2760/20 8-10/FL40 FT</t>
  </si>
  <si>
    <t>Stieņa spice</t>
  </si>
  <si>
    <t>TE 20</t>
  </si>
  <si>
    <t>223/DIN RD8-10</t>
  </si>
  <si>
    <t>Zemējuma vads dzeltenzaļš sazemēšanai</t>
  </si>
  <si>
    <t>Cu16</t>
  </si>
  <si>
    <t>Kabeļu stiprinājuma materiāli-savilces, skavas utt.</t>
  </si>
  <si>
    <t xml:space="preserve"> 20X1500mm</t>
  </si>
  <si>
    <t>Ārējie tīkli</t>
  </si>
  <si>
    <t>El. Uzskaites sadale IUS</t>
  </si>
  <si>
    <t>IP44</t>
  </si>
  <si>
    <t>Statne ar papildrāmi</t>
  </si>
  <si>
    <t>NYY-j 5 * 16 mm2</t>
  </si>
  <si>
    <t>ELEKTROINSTALĀCIJAS MONTĀŽA</t>
  </si>
  <si>
    <t xml:space="preserve">VISPĀRCELTNIECISKIE DARBI </t>
  </si>
  <si>
    <t>APKURE UN VENTILĀCIJA</t>
  </si>
  <si>
    <t>Apkures sistēma</t>
  </si>
  <si>
    <t>PPR caurules ∅20x1.9, DN15</t>
  </si>
  <si>
    <t>PPR caurules∅25x2.3, DN20</t>
  </si>
  <si>
    <t>PPR caurules∅32x3, DN25</t>
  </si>
  <si>
    <t>Pieslēgums pie esošajiem tīkliem ∅32x3 DN25</t>
  </si>
  <si>
    <t>Pieslēgums pie esošajiem tīkliem ∅25x2.3 DN20</t>
  </si>
  <si>
    <t>PPR veidgabalu komplekts DN15-DN25</t>
  </si>
  <si>
    <t>Jumtiņš gaisavada galā IZ / 160 / 500</t>
  </si>
  <si>
    <t>Ugunsdrošības un trauksmes signalizācijas montāža</t>
  </si>
  <si>
    <t>Iepirkums "Būvdarbi projekta "Jauniešu centra izveide Sarkaņu pagastā" ietvaros", identifikācijas numurs MNP2017/42_ELFLA</t>
  </si>
  <si>
    <t>Objekta adrese: J. Ramaņa iela 4, Biksēre, Sarkaņu pagasts, Madonas novads, LV - 4870</t>
  </si>
  <si>
    <t>Objekta nosaukums: Ēkas lietošanas veida maiņa bez pārbūves</t>
  </si>
  <si>
    <t>Būves nosaukums: Sarkaņu pagasta Biksēres ciema Jauniešu centrs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</si>
</sst>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yyyy\-mm\-dd;@"/>
    <numFmt numFmtId="168" formatCode="0.000"/>
    <numFmt numFmtId="169" formatCode="_-* #,##0_-;\-* #,##0_-;_-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LT Arial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0"/>
      <name val="Arial Baltic"/>
      <family val="0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 Baltic"/>
      <family val="0"/>
    </font>
    <font>
      <sz val="10"/>
      <color indexed="8"/>
      <name val="Arial Baltic"/>
      <family val="2"/>
    </font>
    <font>
      <vertAlign val="superscript"/>
      <sz val="10"/>
      <color indexed="8"/>
      <name val="Arial"/>
      <family val="2"/>
    </font>
    <font>
      <sz val="9.3"/>
      <color indexed="8"/>
      <name val="Arial"/>
      <family val="2"/>
    </font>
    <font>
      <sz val="10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Arial Baltic"/>
      <family val="0"/>
    </font>
    <font>
      <sz val="10"/>
      <color indexed="8"/>
      <name val="LT 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theme="1"/>
      <name val="Arial Baltic"/>
      <family val="0"/>
    </font>
    <font>
      <sz val="10"/>
      <color theme="1"/>
      <name val="Arial Baltic"/>
      <family val="2"/>
    </font>
    <font>
      <sz val="10"/>
      <color theme="1"/>
      <name val="Arial"/>
      <family val="2"/>
    </font>
    <font>
      <i/>
      <sz val="10"/>
      <color theme="1"/>
      <name val="Arial Baltic"/>
      <family val="0"/>
    </font>
    <font>
      <sz val="10"/>
      <color theme="1"/>
      <name val="LT Arial"/>
      <family val="0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1" borderId="1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50" applyFont="1" applyBorder="1" applyAlignment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6" fillId="0" borderId="10" xfId="50" applyFont="1" applyBorder="1" applyAlignment="1">
      <alignment horizontal="right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50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2" fontId="0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43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50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" fillId="0" borderId="11" xfId="50" applyNumberFormat="1" applyFont="1" applyBorder="1" applyAlignment="1">
      <alignment horizontal="center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49" fontId="4" fillId="0" borderId="16" xfId="50" applyNumberFormat="1" applyFont="1" applyBorder="1" applyAlignment="1">
      <alignment horizontal="center"/>
      <protection/>
    </xf>
    <xf numFmtId="0" fontId="11" fillId="0" borderId="16" xfId="0" applyFont="1" applyFill="1" applyBorder="1" applyAlignment="1">
      <alignment vertical="center" wrapText="1"/>
    </xf>
    <xf numFmtId="49" fontId="4" fillId="0" borderId="11" xfId="56" applyNumberFormat="1" applyFont="1" applyBorder="1" applyAlignment="1">
      <alignment horizontal="center"/>
      <protection/>
    </xf>
    <xf numFmtId="0" fontId="12" fillId="0" borderId="10" xfId="0" applyFont="1" applyBorder="1" applyAlignment="1">
      <alignment horizontal="right" vertical="top" wrapText="1"/>
    </xf>
    <xf numFmtId="0" fontId="6" fillId="0" borderId="10" xfId="50" applyFont="1" applyBorder="1" applyAlignment="1">
      <alignment horizontal="center"/>
      <protection/>
    </xf>
    <xf numFmtId="0" fontId="4" fillId="0" borderId="20" xfId="50" applyFont="1" applyBorder="1" applyAlignment="1">
      <alignment horizontal="center"/>
      <protection/>
    </xf>
    <xf numFmtId="0" fontId="12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0" xfId="56" applyFont="1" applyFill="1" applyBorder="1" applyAlignment="1">
      <alignment horizont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50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50" applyFont="1" applyFill="1" applyBorder="1" applyAlignment="1">
      <alignment horizontal="right" wrapText="1"/>
      <protection/>
    </xf>
    <xf numFmtId="0" fontId="6" fillId="0" borderId="20" xfId="50" applyFont="1" applyBorder="1" applyAlignment="1">
      <alignment horizontal="right" wrapText="1"/>
      <protection/>
    </xf>
    <xf numFmtId="0" fontId="6" fillId="0" borderId="20" xfId="0" applyFont="1" applyFill="1" applyBorder="1" applyAlignment="1">
      <alignment horizontal="center"/>
    </xf>
    <xf numFmtId="0" fontId="6" fillId="0" borderId="20" xfId="56" applyFont="1" applyFill="1" applyBorder="1" applyAlignment="1">
      <alignment horizontal="center" wrapText="1" shrinkToFit="1"/>
      <protection/>
    </xf>
    <xf numFmtId="168" fontId="6" fillId="0" borderId="10" xfId="56" applyNumberFormat="1" applyFont="1" applyFill="1" applyBorder="1" applyAlignment="1">
      <alignment horizontal="center" wrapText="1" shrinkToFit="1"/>
      <protection/>
    </xf>
    <xf numFmtId="2" fontId="6" fillId="0" borderId="10" xfId="56" applyNumberFormat="1" applyFont="1" applyFill="1" applyBorder="1" applyAlignment="1">
      <alignment horizontal="center" wrapText="1" shrinkToFit="1"/>
      <protection/>
    </xf>
    <xf numFmtId="0" fontId="4" fillId="0" borderId="11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50" applyFont="1" applyBorder="1" applyAlignment="1">
      <alignment horizontal="center"/>
      <protection/>
    </xf>
    <xf numFmtId="0" fontId="6" fillId="0" borderId="10" xfId="0" applyNumberFormat="1" applyFont="1" applyBorder="1" applyAlignment="1">
      <alignment horizontal="center"/>
    </xf>
    <xf numFmtId="0" fontId="6" fillId="0" borderId="20" xfId="50" applyFont="1" applyBorder="1" applyAlignment="1">
      <alignment horizontal="center"/>
      <protection/>
    </xf>
    <xf numFmtId="0" fontId="6" fillId="0" borderId="16" xfId="50" applyFont="1" applyBorder="1" applyAlignment="1">
      <alignment horizontal="right" wrapText="1"/>
      <protection/>
    </xf>
    <xf numFmtId="0" fontId="6" fillId="0" borderId="16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/>
      <protection/>
    </xf>
    <xf numFmtId="0" fontId="4" fillId="0" borderId="20" xfId="50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6" fillId="0" borderId="10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0" xfId="50" applyFont="1" applyFill="1" applyBorder="1" applyAlignment="1">
      <alignment horizontal="right" vertical="center" wrapText="1"/>
      <protection/>
    </xf>
    <xf numFmtId="0" fontId="6" fillId="0" borderId="10" xfId="50" applyFont="1" applyFill="1" applyBorder="1" applyAlignment="1">
      <alignment horizont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6" fillId="0" borderId="10" xfId="56" applyFont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75" fillId="0" borderId="10" xfId="0" applyFont="1" applyFill="1" applyBorder="1" applyAlignment="1">
      <alignment vertical="center"/>
    </xf>
    <xf numFmtId="0" fontId="16" fillId="0" borderId="10" xfId="50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 horizontal="center"/>
    </xf>
    <xf numFmtId="0" fontId="4" fillId="0" borderId="10" xfId="56" applyFont="1" applyFill="1" applyBorder="1" applyAlignment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50" applyFont="1" applyFill="1" applyBorder="1" applyAlignment="1">
      <alignment horizontal="right" vertical="center" wrapText="1"/>
      <protection/>
    </xf>
    <xf numFmtId="0" fontId="6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 vertical="center"/>
    </xf>
    <xf numFmtId="0" fontId="0" fillId="0" borderId="10" xfId="50" applyFont="1" applyBorder="1" applyAlignment="1">
      <alignment horizontal="left" wrapText="1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0" xfId="50" applyFont="1" applyBorder="1" applyAlignment="1">
      <alignment horizontal="right" wrapText="1"/>
      <protection/>
    </xf>
    <xf numFmtId="169" fontId="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21" xfId="50" applyFont="1" applyBorder="1" applyAlignment="1">
      <alignment horizontal="right" wrapText="1"/>
      <protection/>
    </xf>
    <xf numFmtId="0" fontId="6" fillId="0" borderId="21" xfId="0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64" fontId="0" fillId="0" borderId="10" xfId="44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9" fontId="4" fillId="0" borderId="11" xfId="50" applyNumberFormat="1" applyFont="1" applyFill="1" applyBorder="1" applyAlignment="1">
      <alignment horizontal="center"/>
      <protection/>
    </xf>
    <xf numFmtId="0" fontId="16" fillId="0" borderId="10" xfId="56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50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50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51" applyFont="1" applyFill="1" applyBorder="1" applyAlignment="1">
      <alignment vertical="center"/>
      <protection/>
    </xf>
    <xf numFmtId="0" fontId="0" fillId="33" borderId="0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4" fontId="0" fillId="33" borderId="2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/>
    </xf>
    <xf numFmtId="0" fontId="76" fillId="0" borderId="23" xfId="0" applyFont="1" applyFill="1" applyBorder="1" applyAlignment="1">
      <alignment vertical="center"/>
    </xf>
    <xf numFmtId="0" fontId="77" fillId="33" borderId="23" xfId="0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7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8" fillId="0" borderId="0" xfId="0" applyFont="1" applyAlignment="1">
      <alignment horizontal="right"/>
    </xf>
    <xf numFmtId="0" fontId="78" fillId="0" borderId="0" xfId="0" applyFont="1" applyAlignment="1">
      <alignment horizontal="left"/>
    </xf>
    <xf numFmtId="0" fontId="76" fillId="0" borderId="0" xfId="0" applyFont="1" applyFill="1" applyAlignment="1">
      <alignment horizontal="left"/>
    </xf>
    <xf numFmtId="0" fontId="28" fillId="0" borderId="23" xfId="0" applyFont="1" applyFill="1" applyBorder="1" applyAlignment="1">
      <alignment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79" fillId="0" borderId="24" xfId="0" applyFont="1" applyFill="1" applyBorder="1" applyAlignment="1">
      <alignment vertical="center"/>
    </xf>
    <xf numFmtId="0" fontId="7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0" fillId="34" borderId="11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wrapText="1"/>
    </xf>
    <xf numFmtId="0" fontId="82" fillId="0" borderId="10" xfId="0" applyFont="1" applyFill="1" applyBorder="1" applyAlignment="1">
      <alignment horizontal="left" wrapText="1"/>
    </xf>
    <xf numFmtId="0" fontId="81" fillId="0" borderId="10" xfId="0" applyFont="1" applyFill="1" applyBorder="1" applyAlignment="1">
      <alignment wrapText="1"/>
    </xf>
    <xf numFmtId="0" fontId="82" fillId="0" borderId="0" xfId="0" applyFont="1" applyFill="1" applyAlignment="1">
      <alignment wrapText="1"/>
    </xf>
    <xf numFmtId="0" fontId="83" fillId="0" borderId="10" xfId="0" applyFont="1" applyFill="1" applyBorder="1" applyAlignment="1">
      <alignment horizontal="center" wrapText="1"/>
    </xf>
    <xf numFmtId="0" fontId="81" fillId="0" borderId="11" xfId="0" applyFont="1" applyFill="1" applyBorder="1" applyAlignment="1">
      <alignment wrapText="1"/>
    </xf>
    <xf numFmtId="0" fontId="82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0" borderId="0" xfId="51" applyFont="1" applyFill="1" applyBorder="1" applyAlignment="1">
      <alignment horizontal="center"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76" fillId="0" borderId="23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2" fillId="0" borderId="11" xfId="0" applyFont="1" applyFill="1" applyBorder="1" applyAlignment="1">
      <alignment horizontal="left" wrapText="1"/>
    </xf>
    <xf numFmtId="0" fontId="31" fillId="0" borderId="25" xfId="58" applyFont="1" applyBorder="1" applyAlignment="1">
      <alignment horizontal="left" vertical="center" wrapText="1"/>
      <protection/>
    </xf>
    <xf numFmtId="0" fontId="31" fillId="0" borderId="26" xfId="58" applyFont="1" applyFill="1" applyBorder="1" applyAlignment="1">
      <alignment horizontal="left" vertical="center" wrapText="1"/>
      <protection/>
    </xf>
    <xf numFmtId="0" fontId="31" fillId="0" borderId="25" xfId="0" applyFont="1" applyFill="1" applyBorder="1" applyAlignment="1">
      <alignment vertical="center" wrapText="1"/>
    </xf>
    <xf numFmtId="4" fontId="81" fillId="34" borderId="10" xfId="0" applyNumberFormat="1" applyFont="1" applyFill="1" applyBorder="1" applyAlignment="1">
      <alignment horizontal="center" vertical="center"/>
    </xf>
    <xf numFmtId="4" fontId="31" fillId="0" borderId="10" xfId="58" applyNumberFormat="1" applyFont="1" applyBorder="1" applyAlignment="1">
      <alignment horizontal="center" vertical="center"/>
      <protection/>
    </xf>
    <xf numFmtId="4" fontId="31" fillId="0" borderId="10" xfId="58" applyNumberFormat="1" applyFont="1" applyFill="1" applyBorder="1" applyAlignment="1">
      <alignment horizontal="center" vertical="center"/>
      <protection/>
    </xf>
    <xf numFmtId="4" fontId="24" fillId="0" borderId="10" xfId="0" applyNumberFormat="1" applyFont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4" fontId="82" fillId="0" borderId="10" xfId="0" applyNumberFormat="1" applyFont="1" applyFill="1" applyBorder="1" applyAlignment="1">
      <alignment horizontal="center" vertical="center"/>
    </xf>
    <xf numFmtId="4" fontId="82" fillId="0" borderId="25" xfId="0" applyNumberFormat="1" applyFont="1" applyFill="1" applyBorder="1" applyAlignment="1">
      <alignment horizontal="center" vertical="center"/>
    </xf>
    <xf numFmtId="4" fontId="82" fillId="0" borderId="10" xfId="0" applyNumberFormat="1" applyFont="1" applyFill="1" applyBorder="1" applyAlignment="1">
      <alignment horizontal="center" vertical="center"/>
    </xf>
    <xf numFmtId="4" fontId="82" fillId="0" borderId="0" xfId="0" applyNumberFormat="1" applyFont="1" applyFill="1" applyAlignment="1">
      <alignment horizontal="center" vertical="center"/>
    </xf>
    <xf numFmtId="4" fontId="84" fillId="0" borderId="10" xfId="0" applyNumberFormat="1" applyFont="1" applyFill="1" applyBorder="1" applyAlignment="1">
      <alignment horizontal="center" vertical="center"/>
    </xf>
    <xf numFmtId="4" fontId="84" fillId="0" borderId="25" xfId="0" applyNumberFormat="1" applyFont="1" applyFill="1" applyBorder="1" applyAlignment="1">
      <alignment horizontal="center" vertical="center"/>
    </xf>
    <xf numFmtId="4" fontId="81" fillId="0" borderId="10" xfId="0" applyNumberFormat="1" applyFont="1" applyFill="1" applyBorder="1" applyAlignment="1">
      <alignment horizontal="center" vertical="center"/>
    </xf>
    <xf numFmtId="4" fontId="82" fillId="0" borderId="25" xfId="0" applyNumberFormat="1" applyFont="1" applyFill="1" applyBorder="1" applyAlignment="1">
      <alignment horizontal="center" vertical="center"/>
    </xf>
    <xf numFmtId="4" fontId="81" fillId="34" borderId="11" xfId="0" applyNumberFormat="1" applyFont="1" applyFill="1" applyBorder="1" applyAlignment="1">
      <alignment horizontal="center" vertical="center"/>
    </xf>
    <xf numFmtId="4" fontId="81" fillId="34" borderId="27" xfId="0" applyNumberFormat="1" applyFont="1" applyFill="1" applyBorder="1" applyAlignment="1">
      <alignment horizontal="center" vertical="center"/>
    </xf>
    <xf numFmtId="4" fontId="82" fillId="0" borderId="17" xfId="0" applyNumberFormat="1" applyFont="1" applyFill="1" applyBorder="1" applyAlignment="1">
      <alignment horizontal="center" vertical="center" wrapText="1"/>
    </xf>
    <xf numFmtId="4" fontId="81" fillId="34" borderId="10" xfId="0" applyNumberFormat="1" applyFont="1" applyFill="1" applyBorder="1" applyAlignment="1">
      <alignment horizontal="center" vertical="center"/>
    </xf>
    <xf numFmtId="4" fontId="82" fillId="34" borderId="25" xfId="0" applyNumberFormat="1" applyFont="1" applyFill="1" applyBorder="1" applyAlignment="1">
      <alignment horizontal="center" vertical="center"/>
    </xf>
    <xf numFmtId="4" fontId="82" fillId="0" borderId="10" xfId="0" applyNumberFormat="1" applyFont="1" applyFill="1" applyBorder="1" applyAlignment="1">
      <alignment horizontal="center" vertical="center" wrapText="1"/>
    </xf>
    <xf numFmtId="4" fontId="82" fillId="0" borderId="27" xfId="0" applyNumberFormat="1" applyFont="1" applyFill="1" applyBorder="1" applyAlignment="1">
      <alignment horizontal="center" vertical="center"/>
    </xf>
    <xf numFmtId="4" fontId="81" fillId="0" borderId="27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0" fillId="34" borderId="27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0" fontId="24" fillId="0" borderId="25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78" fillId="0" borderId="0" xfId="0" applyFont="1" applyAlignment="1">
      <alignment horizontal="left"/>
    </xf>
    <xf numFmtId="0" fontId="0" fillId="0" borderId="25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vertical="top"/>
    </xf>
    <xf numFmtId="0" fontId="16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6" fillId="33" borderId="25" xfId="0" applyFont="1" applyFill="1" applyBorder="1" applyAlignment="1">
      <alignment horizontal="right" vertical="center"/>
    </xf>
    <xf numFmtId="0" fontId="6" fillId="33" borderId="28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right" vertical="top"/>
    </xf>
    <xf numFmtId="0" fontId="6" fillId="0" borderId="28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0" fontId="2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 wrapText="1"/>
    </xf>
    <xf numFmtId="0" fontId="7" fillId="7" borderId="32" xfId="0" applyFont="1" applyFill="1" applyBorder="1" applyAlignment="1">
      <alignment horizontal="left" vertical="center" wrapText="1"/>
    </xf>
    <xf numFmtId="0" fontId="7" fillId="7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/>
    </xf>
  </cellXfs>
  <cellStyles count="6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11" xfId="49"/>
    <cellStyle name="Normal 2" xfId="50"/>
    <cellStyle name="Normal 2 2" xfId="51"/>
    <cellStyle name="Normal 2 2 2" xfId="52"/>
    <cellStyle name="Normal 3" xfId="53"/>
    <cellStyle name="Normal 4" xfId="54"/>
    <cellStyle name="Normal 7" xfId="55"/>
    <cellStyle name="Normal_Sheet2" xfId="56"/>
    <cellStyle name="Nosaukums" xfId="57"/>
    <cellStyle name="Parastais 2_AV_specifikacija" xfId="58"/>
    <cellStyle name="Parastais_BA-Junge_cehs-07.07.2016" xfId="59"/>
    <cellStyle name="Parasts 2" xfId="60"/>
    <cellStyle name="Paskaidrojošs teksts" xfId="61"/>
    <cellStyle name="Pārbaudes šūna" xfId="62"/>
    <cellStyle name="Percent 2" xfId="63"/>
    <cellStyle name="Piezīme" xfId="64"/>
    <cellStyle name="Percent" xfId="65"/>
    <cellStyle name="Saistīta šūna" xfId="66"/>
    <cellStyle name="Slikts" xfId="67"/>
    <cellStyle name="Style 1" xfId="68"/>
    <cellStyle name="Currency" xfId="69"/>
    <cellStyle name="Currency [0]" xfId="70"/>
    <cellStyle name="Virsraksts 1" xfId="71"/>
    <cellStyle name="Virsraksts 2" xfId="72"/>
    <cellStyle name="Virsraksts 3" xfId="73"/>
    <cellStyle name="Virsraksts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65</xdr:row>
      <xdr:rowOff>0</xdr:rowOff>
    </xdr:from>
    <xdr:to>
      <xdr:col>2</xdr:col>
      <xdr:colOff>95250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524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104</xdr:row>
      <xdr:rowOff>0</xdr:rowOff>
    </xdr:from>
    <xdr:to>
      <xdr:col>1</xdr:col>
      <xdr:colOff>95250</xdr:colOff>
      <xdr:row>104</xdr:row>
      <xdr:rowOff>0</xdr:rowOff>
    </xdr:to>
    <xdr:sp>
      <xdr:nvSpPr>
        <xdr:cNvPr id="2" name="Line 1"/>
        <xdr:cNvSpPr>
          <a:spLocks/>
        </xdr:cNvSpPr>
      </xdr:nvSpPr>
      <xdr:spPr>
        <a:xfrm>
          <a:off x="733425" y="25250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7"/>
  <sheetViews>
    <sheetView zoomScaleSheetLayoutView="96" workbookViewId="0" topLeftCell="A1">
      <selection activeCell="D24" sqref="D24"/>
    </sheetView>
  </sheetViews>
  <sheetFormatPr defaultColWidth="9.140625" defaultRowHeight="12.75"/>
  <cols>
    <col min="1" max="1" width="4.421875" style="35" customWidth="1"/>
    <col min="2" max="2" width="9.140625" style="35" customWidth="1"/>
    <col min="3" max="3" width="45.8515625" style="35" bestFit="1" customWidth="1"/>
    <col min="4" max="5" width="12.00390625" style="182" customWidth="1"/>
    <col min="6" max="6" width="13.7109375" style="182" customWidth="1"/>
    <col min="7" max="8" width="12.00390625" style="182" customWidth="1"/>
    <col min="9" max="11" width="9.140625" style="35" customWidth="1"/>
    <col min="12" max="12" width="10.140625" style="35" bestFit="1" customWidth="1"/>
    <col min="13" max="16384" width="9.140625" style="35" customWidth="1"/>
  </cols>
  <sheetData>
    <row r="1" spans="1:8" ht="17.25" customHeight="1">
      <c r="A1" s="316" t="s">
        <v>561</v>
      </c>
      <c r="B1" s="316"/>
      <c r="C1" s="316"/>
      <c r="D1" s="316"/>
      <c r="E1" s="316"/>
      <c r="F1" s="316"/>
      <c r="G1" s="316"/>
      <c r="H1" s="316"/>
    </row>
    <row r="2" spans="1:9" ht="16.5" customHeight="1">
      <c r="A2" s="315" t="s">
        <v>598</v>
      </c>
      <c r="B2" s="315"/>
      <c r="C2" s="315"/>
      <c r="D2" s="315"/>
      <c r="E2" s="315"/>
      <c r="F2" s="315"/>
      <c r="G2" s="315"/>
      <c r="H2" s="315"/>
      <c r="I2" s="191"/>
    </row>
    <row r="3" spans="4:8" ht="14.25" customHeight="1">
      <c r="D3" s="35"/>
      <c r="E3" s="35"/>
      <c r="F3" s="35"/>
      <c r="G3" s="35"/>
      <c r="H3" s="35"/>
    </row>
    <row r="4" spans="1:15" s="52" customFormat="1" ht="12" customHeight="1">
      <c r="A4" s="312" t="s">
        <v>796</v>
      </c>
      <c r="B4" s="312"/>
      <c r="C4" s="312"/>
      <c r="D4" s="312"/>
      <c r="E4" s="312"/>
      <c r="F4" s="312"/>
      <c r="G4" s="312"/>
      <c r="H4" s="312"/>
      <c r="I4" s="204"/>
      <c r="J4" s="204"/>
      <c r="K4" s="204"/>
      <c r="L4" s="204"/>
      <c r="M4" s="204"/>
      <c r="N4" s="17"/>
      <c r="O4" s="17"/>
    </row>
    <row r="5" spans="1:15" s="52" customFormat="1" ht="12.75">
      <c r="A5" s="312" t="s">
        <v>797</v>
      </c>
      <c r="B5" s="312"/>
      <c r="C5" s="312"/>
      <c r="D5" s="312"/>
      <c r="E5" s="312"/>
      <c r="F5" s="312"/>
      <c r="G5" s="312"/>
      <c r="H5" s="312"/>
      <c r="I5" s="204"/>
      <c r="J5" s="204"/>
      <c r="K5" s="204"/>
      <c r="L5" s="204"/>
      <c r="M5" s="204"/>
      <c r="N5" s="17"/>
      <c r="O5" s="17"/>
    </row>
    <row r="6" spans="1:13" s="247" customFormat="1" ht="14.25" customHeight="1">
      <c r="A6" s="314" t="s">
        <v>795</v>
      </c>
      <c r="B6" s="314"/>
      <c r="C6" s="314"/>
      <c r="D6" s="314"/>
      <c r="E6" s="314"/>
      <c r="F6" s="314"/>
      <c r="G6" s="314"/>
      <c r="H6" s="314"/>
      <c r="I6" s="17"/>
      <c r="J6" s="17"/>
      <c r="K6" s="17"/>
      <c r="L6" s="17"/>
      <c r="M6" s="246"/>
    </row>
    <row r="7" spans="1:13" s="247" customFormat="1" ht="12.75" customHeight="1">
      <c r="A7" s="312" t="s">
        <v>794</v>
      </c>
      <c r="B7" s="312"/>
      <c r="C7" s="312"/>
      <c r="D7" s="312"/>
      <c r="E7" s="312"/>
      <c r="F7" s="312"/>
      <c r="G7" s="312"/>
      <c r="H7" s="312"/>
      <c r="I7" s="246"/>
      <c r="J7" s="246"/>
      <c r="K7" s="246"/>
      <c r="L7" s="246"/>
      <c r="M7" s="245"/>
    </row>
    <row r="8" spans="1:13" s="247" customFormat="1" ht="12.75" customHeight="1">
      <c r="A8" s="313" t="s">
        <v>571</v>
      </c>
      <c r="B8" s="313"/>
      <c r="C8" s="313"/>
      <c r="D8" s="313"/>
      <c r="E8" s="313"/>
      <c r="F8" s="313"/>
      <c r="G8" s="313"/>
      <c r="H8" s="313"/>
      <c r="I8" s="246"/>
      <c r="J8" s="246"/>
      <c r="K8" s="246"/>
      <c r="L8" s="246"/>
      <c r="M8" s="245"/>
    </row>
    <row r="9" spans="1:13" s="247" customFormat="1" ht="13.5" customHeight="1">
      <c r="A9" s="248"/>
      <c r="B9" s="248"/>
      <c r="C9" s="249"/>
      <c r="D9" s="249"/>
      <c r="E9" s="249"/>
      <c r="F9" s="249"/>
      <c r="G9" s="249"/>
      <c r="H9" s="249"/>
      <c r="I9" s="246"/>
      <c r="J9" s="246"/>
      <c r="K9" s="246"/>
      <c r="L9" s="246"/>
      <c r="M9" s="245"/>
    </row>
    <row r="10" spans="1:16" s="52" customFormat="1" ht="12.75">
      <c r="A10" s="52" t="s">
        <v>670</v>
      </c>
      <c r="C10" s="17"/>
      <c r="D10" s="17"/>
      <c r="I10" s="17"/>
      <c r="J10" s="17"/>
      <c r="K10" s="17"/>
      <c r="L10" s="17"/>
      <c r="M10" s="17"/>
      <c r="N10" s="17"/>
      <c r="O10" s="17"/>
      <c r="P10" s="17"/>
    </row>
    <row r="11" spans="3:16" s="52" customFormat="1" ht="12.75">
      <c r="C11" s="17"/>
      <c r="D11" s="17"/>
      <c r="E11" s="17"/>
      <c r="F11" s="211" t="s">
        <v>672</v>
      </c>
      <c r="G11" s="243"/>
      <c r="H11" s="244" t="s">
        <v>671</v>
      </c>
      <c r="I11" s="17"/>
      <c r="J11" s="17"/>
      <c r="K11" s="17"/>
      <c r="L11" s="17"/>
      <c r="M11" s="17"/>
      <c r="N11" s="17"/>
      <c r="O11" s="17"/>
      <c r="P11" s="17"/>
    </row>
    <row r="13" spans="1:8" ht="12.75">
      <c r="A13" s="309" t="s">
        <v>573</v>
      </c>
      <c r="B13" s="310" t="s">
        <v>1</v>
      </c>
      <c r="C13" s="309" t="s">
        <v>574</v>
      </c>
      <c r="D13" s="309" t="s">
        <v>554</v>
      </c>
      <c r="E13" s="310" t="s">
        <v>2</v>
      </c>
      <c r="F13" s="310"/>
      <c r="G13" s="310"/>
      <c r="H13" s="310" t="s">
        <v>30</v>
      </c>
    </row>
    <row r="14" spans="1:8" ht="12.75" customHeight="1">
      <c r="A14" s="310"/>
      <c r="B14" s="310"/>
      <c r="C14" s="310"/>
      <c r="D14" s="310"/>
      <c r="E14" s="309" t="s">
        <v>555</v>
      </c>
      <c r="F14" s="309" t="s">
        <v>556</v>
      </c>
      <c r="G14" s="309" t="s">
        <v>557</v>
      </c>
      <c r="H14" s="310"/>
    </row>
    <row r="15" spans="1:8" ht="12.75">
      <c r="A15" s="310"/>
      <c r="B15" s="310"/>
      <c r="C15" s="310"/>
      <c r="D15" s="310"/>
      <c r="E15" s="310"/>
      <c r="F15" s="310"/>
      <c r="G15" s="310"/>
      <c r="H15" s="310"/>
    </row>
    <row r="16" spans="1:8" ht="17.25" customHeight="1" thickBot="1">
      <c r="A16" s="317"/>
      <c r="B16" s="317"/>
      <c r="C16" s="317"/>
      <c r="D16" s="317"/>
      <c r="E16" s="311"/>
      <c r="F16" s="311"/>
      <c r="G16" s="311"/>
      <c r="H16" s="311"/>
    </row>
    <row r="17" spans="1:8" ht="13.5" thickTop="1">
      <c r="A17" s="36">
        <v>1</v>
      </c>
      <c r="B17" s="185" t="s">
        <v>564</v>
      </c>
      <c r="C17" s="167" t="s">
        <v>675</v>
      </c>
      <c r="D17" s="183"/>
      <c r="E17" s="183"/>
      <c r="F17" s="183"/>
      <c r="G17" s="183"/>
      <c r="H17" s="183"/>
    </row>
    <row r="18" spans="1:8" ht="12.75">
      <c r="A18" s="36">
        <v>2</v>
      </c>
      <c r="B18" s="185" t="s">
        <v>562</v>
      </c>
      <c r="C18" s="167" t="s">
        <v>793</v>
      </c>
      <c r="D18" s="183"/>
      <c r="E18" s="183"/>
      <c r="F18" s="183"/>
      <c r="G18" s="183"/>
      <c r="H18" s="183"/>
    </row>
    <row r="19" spans="1:8" ht="12.75">
      <c r="A19" s="36">
        <v>3</v>
      </c>
      <c r="B19" s="185" t="s">
        <v>563</v>
      </c>
      <c r="C19" s="167" t="s">
        <v>676</v>
      </c>
      <c r="D19" s="183"/>
      <c r="E19" s="183"/>
      <c r="F19" s="183"/>
      <c r="G19" s="183"/>
      <c r="H19" s="183"/>
    </row>
    <row r="20" spans="1:8" ht="12.75">
      <c r="A20" s="36">
        <v>4</v>
      </c>
      <c r="B20" s="185" t="s">
        <v>664</v>
      </c>
      <c r="C20" s="167" t="s">
        <v>677</v>
      </c>
      <c r="D20" s="183"/>
      <c r="E20" s="183"/>
      <c r="F20" s="183"/>
      <c r="G20" s="183"/>
      <c r="H20" s="183"/>
    </row>
    <row r="21" spans="1:8" ht="12.75">
      <c r="A21" s="208"/>
      <c r="B21" s="322" t="s">
        <v>575</v>
      </c>
      <c r="C21" s="323"/>
      <c r="D21" s="183"/>
      <c r="E21" s="183"/>
      <c r="F21" s="183"/>
      <c r="G21" s="183"/>
      <c r="H21" s="183"/>
    </row>
    <row r="22" spans="1:8" ht="15.75" customHeight="1">
      <c r="A22" s="324" t="s">
        <v>549</v>
      </c>
      <c r="B22" s="325"/>
      <c r="C22" s="326"/>
      <c r="D22" s="240"/>
      <c r="E22" s="241"/>
      <c r="F22" s="241"/>
      <c r="G22" s="241"/>
      <c r="H22" s="241"/>
    </row>
    <row r="23" spans="1:11" ht="16.5" customHeight="1">
      <c r="A23" s="327" t="s">
        <v>576</v>
      </c>
      <c r="B23" s="328"/>
      <c r="C23" s="329"/>
      <c r="D23" s="242"/>
      <c r="E23" s="241"/>
      <c r="F23" s="241"/>
      <c r="G23" s="241"/>
      <c r="H23" s="241"/>
      <c r="K23" s="37"/>
    </row>
    <row r="24" spans="1:11" ht="15.75" customHeight="1">
      <c r="A24" s="324" t="s">
        <v>550</v>
      </c>
      <c r="B24" s="325"/>
      <c r="C24" s="326"/>
      <c r="D24" s="240"/>
      <c r="E24" s="241"/>
      <c r="F24" s="241"/>
      <c r="G24" s="241"/>
      <c r="H24" s="241"/>
      <c r="K24" s="38"/>
    </row>
    <row r="25" spans="1:11" ht="15.75" customHeight="1">
      <c r="A25" s="324" t="s">
        <v>558</v>
      </c>
      <c r="B25" s="325"/>
      <c r="C25" s="326"/>
      <c r="D25" s="184"/>
      <c r="E25" s="241"/>
      <c r="F25" s="241"/>
      <c r="G25" s="241"/>
      <c r="H25" s="241"/>
      <c r="K25" s="38"/>
    </row>
    <row r="26" spans="1:11" ht="15.75">
      <c r="A26" s="319" t="s">
        <v>665</v>
      </c>
      <c r="B26" s="320"/>
      <c r="C26" s="321"/>
      <c r="D26" s="250"/>
      <c r="E26" s="241"/>
      <c r="F26" s="241"/>
      <c r="G26" s="241"/>
      <c r="H26" s="241"/>
      <c r="K26" s="38"/>
    </row>
    <row r="27" spans="1:11" ht="15.75">
      <c r="A27" s="319" t="s">
        <v>552</v>
      </c>
      <c r="B27" s="320"/>
      <c r="C27" s="321"/>
      <c r="D27" s="250"/>
      <c r="E27" s="241"/>
      <c r="F27" s="241"/>
      <c r="G27" s="241"/>
      <c r="H27" s="241"/>
      <c r="K27" s="38"/>
    </row>
    <row r="28" ht="12.75">
      <c r="K28" s="37"/>
    </row>
    <row r="29" spans="1:7" ht="15.75" customHeight="1">
      <c r="A29" s="228" t="s">
        <v>6</v>
      </c>
      <c r="B29" s="216"/>
      <c r="C29" s="217"/>
      <c r="D29" s="218"/>
      <c r="E29" s="218"/>
      <c r="F29" s="219"/>
      <c r="G29" s="219"/>
    </row>
    <row r="30" spans="1:7" ht="15.75" customHeight="1">
      <c r="A30" s="220"/>
      <c r="B30" s="216"/>
      <c r="C30" s="221" t="s">
        <v>548</v>
      </c>
      <c r="D30" s="222"/>
      <c r="E30" s="222"/>
      <c r="F30" s="223"/>
      <c r="G30" s="223"/>
    </row>
    <row r="31" spans="1:13" ht="15">
      <c r="A31" s="224"/>
      <c r="B31" s="198"/>
      <c r="C31" s="225"/>
      <c r="D31" s="318" t="s">
        <v>668</v>
      </c>
      <c r="E31" s="318"/>
      <c r="F31" s="318"/>
      <c r="G31" s="318"/>
      <c r="H31" s="318"/>
      <c r="I31" s="318"/>
      <c r="J31" s="226"/>
      <c r="M31" s="198"/>
    </row>
    <row r="32" spans="1:13" ht="15">
      <c r="A32" s="224"/>
      <c r="B32" s="198"/>
      <c r="C32" s="225"/>
      <c r="D32" s="227"/>
      <c r="E32" s="227"/>
      <c r="F32" s="227"/>
      <c r="G32" s="227"/>
      <c r="H32" s="227"/>
      <c r="I32" s="227"/>
      <c r="J32" s="226"/>
      <c r="M32" s="198"/>
    </row>
    <row r="33" spans="1:7" ht="15.75" customHeight="1">
      <c r="A33" s="228" t="s">
        <v>572</v>
      </c>
      <c r="B33" s="216"/>
      <c r="C33" s="229"/>
      <c r="D33" s="230"/>
      <c r="E33" s="230"/>
      <c r="F33" s="231"/>
      <c r="G33" s="231"/>
    </row>
    <row r="34" spans="1:7" ht="15.75" customHeight="1">
      <c r="A34" s="220"/>
      <c r="B34" s="216"/>
      <c r="C34" s="221" t="s">
        <v>548</v>
      </c>
      <c r="D34" s="222"/>
      <c r="E34" s="222"/>
      <c r="F34" s="223"/>
      <c r="G34" s="223"/>
    </row>
    <row r="35" spans="1:7" ht="15.75">
      <c r="A35" s="220"/>
      <c r="B35" s="216"/>
      <c r="C35" s="232"/>
      <c r="D35" s="222"/>
      <c r="E35" s="222"/>
      <c r="F35" s="223"/>
      <c r="G35" s="223"/>
    </row>
    <row r="36" spans="1:7" ht="15" customHeight="1">
      <c r="A36" s="233" t="s">
        <v>669</v>
      </c>
      <c r="B36" s="234"/>
      <c r="C36" s="235"/>
      <c r="D36" s="222"/>
      <c r="E36" s="222"/>
      <c r="F36" s="236"/>
      <c r="G36" s="236"/>
    </row>
    <row r="37" spans="3:5" ht="12.75">
      <c r="C37" s="237"/>
      <c r="D37" s="238"/>
      <c r="E37" s="239"/>
    </row>
  </sheetData>
  <sheetProtection/>
  <mergeCells count="24">
    <mergeCell ref="D31:I31"/>
    <mergeCell ref="A26:C26"/>
    <mergeCell ref="A27:C27"/>
    <mergeCell ref="B21:C21"/>
    <mergeCell ref="A22:C22"/>
    <mergeCell ref="A23:C23"/>
    <mergeCell ref="A24:C24"/>
    <mergeCell ref="A25:C25"/>
    <mergeCell ref="A1:H1"/>
    <mergeCell ref="A13:A16"/>
    <mergeCell ref="B13:B16"/>
    <mergeCell ref="C13:C16"/>
    <mergeCell ref="D13:D16"/>
    <mergeCell ref="H13:H16"/>
    <mergeCell ref="E14:E16"/>
    <mergeCell ref="E13:G13"/>
    <mergeCell ref="A5:H5"/>
    <mergeCell ref="G14:G16"/>
    <mergeCell ref="F14:F16"/>
    <mergeCell ref="A7:H7"/>
    <mergeCell ref="A8:H8"/>
    <mergeCell ref="A6:H6"/>
    <mergeCell ref="A4:H4"/>
    <mergeCell ref="A2:H2"/>
  </mergeCells>
  <printOptions/>
  <pageMargins left="0.7874015748031497" right="0.7874015748031497" top="1.1811023622047245" bottom="1.18110236220472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A44">
      <selection activeCell="K60" sqref="K60:O61"/>
    </sheetView>
  </sheetViews>
  <sheetFormatPr defaultColWidth="9.140625" defaultRowHeight="12.75"/>
  <cols>
    <col min="1" max="1" width="7.00390625" style="198" customWidth="1"/>
    <col min="2" max="2" width="35.7109375" style="0" customWidth="1"/>
    <col min="3" max="3" width="6.57421875" style="177" customWidth="1"/>
    <col min="4" max="4" width="6.57421875" style="262" customWidth="1"/>
    <col min="5" max="8" width="8.7109375" style="0" customWidth="1"/>
    <col min="9" max="9" width="8.7109375" style="53" customWidth="1"/>
    <col min="10" max="15" width="8.7109375" style="0" customWidth="1"/>
    <col min="16" max="16" width="10.28125" style="0" bestFit="1" customWidth="1"/>
  </cols>
  <sheetData>
    <row r="1" spans="1:15" ht="12.75" hidden="1">
      <c r="A1" s="195"/>
      <c r="B1" s="53"/>
      <c r="C1" s="261"/>
      <c r="E1" s="53"/>
      <c r="F1" s="53">
        <v>5</v>
      </c>
      <c r="G1" s="53"/>
      <c r="H1" s="53"/>
      <c r="I1" s="189">
        <v>0.08</v>
      </c>
      <c r="J1" s="53"/>
      <c r="K1" s="53"/>
      <c r="L1" s="53"/>
      <c r="M1" s="53"/>
      <c r="N1" s="53"/>
      <c r="O1" s="53"/>
    </row>
    <row r="2" spans="1:15" s="52" customFormat="1" ht="16.5" thickBot="1">
      <c r="A2" s="330" t="s">
        <v>568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s="52" customFormat="1" ht="15.75" thickTop="1">
      <c r="A3" s="331" t="s">
        <v>783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1:15" s="52" customFormat="1" ht="12.75">
      <c r="A4" s="41"/>
      <c r="B4" s="41"/>
      <c r="C4" s="263"/>
      <c r="D4" s="26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52" customFormat="1" ht="12" customHeight="1">
      <c r="A5" s="312" t="s">
        <v>796</v>
      </c>
      <c r="B5" s="312"/>
      <c r="C5" s="312"/>
      <c r="D5" s="312"/>
      <c r="E5" s="312"/>
      <c r="F5" s="312"/>
      <c r="G5" s="312"/>
      <c r="H5" s="312"/>
      <c r="I5" s="204"/>
      <c r="J5" s="204"/>
      <c r="K5" s="204"/>
      <c r="L5" s="204"/>
      <c r="M5" s="204"/>
      <c r="N5" s="17"/>
      <c r="O5" s="17"/>
    </row>
    <row r="6" spans="1:15" s="52" customFormat="1" ht="12.75">
      <c r="A6" s="312" t="s">
        <v>797</v>
      </c>
      <c r="B6" s="312"/>
      <c r="C6" s="312"/>
      <c r="D6" s="312"/>
      <c r="E6" s="312"/>
      <c r="F6" s="312"/>
      <c r="G6" s="312"/>
      <c r="H6" s="312"/>
      <c r="I6" s="204"/>
      <c r="J6" s="204"/>
      <c r="K6" s="204"/>
      <c r="L6" s="204"/>
      <c r="M6" s="204"/>
      <c r="N6" s="17"/>
      <c r="O6" s="17"/>
    </row>
    <row r="7" spans="1:13" s="247" customFormat="1" ht="14.25" customHeight="1">
      <c r="A7" s="314" t="s">
        <v>795</v>
      </c>
      <c r="B7" s="314"/>
      <c r="C7" s="314"/>
      <c r="D7" s="314"/>
      <c r="E7" s="314"/>
      <c r="F7" s="314"/>
      <c r="G7" s="314"/>
      <c r="H7" s="314"/>
      <c r="I7" s="17"/>
      <c r="J7" s="17"/>
      <c r="K7" s="17"/>
      <c r="L7" s="17"/>
      <c r="M7" s="246"/>
    </row>
    <row r="8" spans="1:13" s="247" customFormat="1" ht="12.75" customHeight="1">
      <c r="A8" s="312" t="s">
        <v>794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246"/>
      <c r="M8" s="245"/>
    </row>
    <row r="9" spans="1:13" s="247" customFormat="1" ht="12.75" customHeight="1">
      <c r="A9" s="313" t="s">
        <v>571</v>
      </c>
      <c r="B9" s="313"/>
      <c r="C9" s="313"/>
      <c r="D9" s="313"/>
      <c r="E9" s="313"/>
      <c r="F9" s="313"/>
      <c r="G9" s="313"/>
      <c r="H9" s="313"/>
      <c r="I9" s="246"/>
      <c r="J9" s="246"/>
      <c r="K9" s="246"/>
      <c r="L9" s="246"/>
      <c r="M9" s="245"/>
    </row>
    <row r="10" spans="1:13" s="247" customFormat="1" ht="13.5" customHeight="1">
      <c r="A10" s="248"/>
      <c r="B10" s="248"/>
      <c r="C10" s="249"/>
      <c r="D10" s="249"/>
      <c r="E10" s="249"/>
      <c r="F10" s="249"/>
      <c r="G10" s="249"/>
      <c r="H10" s="249"/>
      <c r="I10" s="246"/>
      <c r="J10" s="246"/>
      <c r="K10" s="246"/>
      <c r="L10" s="246"/>
      <c r="M10" s="245"/>
    </row>
    <row r="11" spans="1:16" s="52" customFormat="1" ht="12.75">
      <c r="A11" s="52" t="s">
        <v>670</v>
      </c>
      <c r="C11" s="251"/>
      <c r="D11" s="251"/>
      <c r="I11" s="17"/>
      <c r="J11" s="17"/>
      <c r="K11" s="17"/>
      <c r="L11" s="17"/>
      <c r="M11" s="17"/>
      <c r="N11" s="17"/>
      <c r="O11" s="17"/>
      <c r="P11" s="17"/>
    </row>
    <row r="12" spans="3:16" s="52" customFormat="1" ht="12.75">
      <c r="C12" s="251"/>
      <c r="D12" s="251"/>
      <c r="I12" s="17"/>
      <c r="J12" s="17"/>
      <c r="K12" s="17"/>
      <c r="L12" s="17"/>
      <c r="M12" s="211" t="s">
        <v>672</v>
      </c>
      <c r="N12" s="243"/>
      <c r="O12" s="244" t="s">
        <v>671</v>
      </c>
      <c r="P12" s="17"/>
    </row>
    <row r="13" spans="3:16" s="52" customFormat="1" ht="12.75">
      <c r="C13" s="251"/>
      <c r="D13" s="251"/>
      <c r="E13" s="17"/>
      <c r="F13" s="211"/>
      <c r="G13" s="17"/>
      <c r="H13" s="244"/>
      <c r="I13" s="17"/>
      <c r="J13" s="17"/>
      <c r="K13" s="17"/>
      <c r="L13" s="17"/>
      <c r="M13" s="17"/>
      <c r="N13" s="17"/>
      <c r="O13" s="17"/>
      <c r="P13" s="17"/>
    </row>
    <row r="14" spans="1:15" s="131" customFormat="1" ht="12.75">
      <c r="A14" s="335" t="s">
        <v>5</v>
      </c>
      <c r="B14" s="334" t="s">
        <v>674</v>
      </c>
      <c r="C14" s="336" t="s">
        <v>546</v>
      </c>
      <c r="D14" s="336" t="s">
        <v>547</v>
      </c>
      <c r="E14" s="334" t="s">
        <v>559</v>
      </c>
      <c r="F14" s="334"/>
      <c r="G14" s="334"/>
      <c r="H14" s="334"/>
      <c r="I14" s="334"/>
      <c r="J14" s="334"/>
      <c r="K14" s="334" t="s">
        <v>560</v>
      </c>
      <c r="L14" s="334" t="s">
        <v>25</v>
      </c>
      <c r="M14" s="334"/>
      <c r="N14" s="334"/>
      <c r="O14" s="334"/>
    </row>
    <row r="15" spans="1:15" s="7" customFormat="1" ht="79.5">
      <c r="A15" s="335"/>
      <c r="B15" s="334"/>
      <c r="C15" s="336"/>
      <c r="D15" s="336"/>
      <c r="E15" s="199" t="s">
        <v>583</v>
      </c>
      <c r="F15" s="199" t="s">
        <v>553</v>
      </c>
      <c r="G15" s="199" t="s">
        <v>673</v>
      </c>
      <c r="H15" s="200" t="s">
        <v>577</v>
      </c>
      <c r="I15" s="199" t="s">
        <v>578</v>
      </c>
      <c r="J15" s="199" t="s">
        <v>584</v>
      </c>
      <c r="K15" s="199" t="s">
        <v>30</v>
      </c>
      <c r="L15" s="199" t="s">
        <v>579</v>
      </c>
      <c r="M15" s="200" t="s">
        <v>580</v>
      </c>
      <c r="N15" s="199" t="s">
        <v>581</v>
      </c>
      <c r="O15" s="205" t="s">
        <v>582</v>
      </c>
    </row>
    <row r="16" spans="1:15" s="7" customFormat="1" ht="12.75">
      <c r="A16" s="207" t="s">
        <v>570</v>
      </c>
      <c r="B16" s="252" t="s">
        <v>594</v>
      </c>
      <c r="C16" s="289"/>
      <c r="D16" s="290"/>
      <c r="E16" s="214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1:15" s="7" customFormat="1" ht="12.75">
      <c r="A17" s="207" t="s">
        <v>586</v>
      </c>
      <c r="B17" s="272" t="s">
        <v>599</v>
      </c>
      <c r="C17" s="291" t="s">
        <v>214</v>
      </c>
      <c r="D17" s="288">
        <v>1</v>
      </c>
      <c r="E17" s="214"/>
      <c r="F17" s="21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s="7" customFormat="1" ht="12.75">
      <c r="A18" s="207" t="s">
        <v>587</v>
      </c>
      <c r="B18" s="253" t="s">
        <v>565</v>
      </c>
      <c r="C18" s="292"/>
      <c r="D18" s="293"/>
      <c r="E18" s="214"/>
      <c r="F18" s="21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s="7" customFormat="1" ht="38.25">
      <c r="A19" s="207" t="s">
        <v>588</v>
      </c>
      <c r="B19" s="254" t="s">
        <v>678</v>
      </c>
      <c r="C19" s="287" t="s">
        <v>43</v>
      </c>
      <c r="D19" s="288">
        <v>14.75</v>
      </c>
      <c r="E19" s="214"/>
      <c r="F19" s="213"/>
      <c r="G19" s="213"/>
      <c r="H19" s="213"/>
      <c r="I19" s="213"/>
      <c r="J19" s="213"/>
      <c r="K19" s="213"/>
      <c r="L19" s="213"/>
      <c r="M19" s="213"/>
      <c r="N19" s="213"/>
      <c r="O19" s="213"/>
    </row>
    <row r="20" spans="1:15" s="7" customFormat="1" ht="12.75">
      <c r="A20" s="207" t="s">
        <v>589</v>
      </c>
      <c r="B20" s="254" t="s">
        <v>600</v>
      </c>
      <c r="C20" s="287" t="s">
        <v>44</v>
      </c>
      <c r="D20" s="288">
        <v>3</v>
      </c>
      <c r="E20" s="214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s="7" customFormat="1" ht="12.75">
      <c r="A21" s="207" t="s">
        <v>590</v>
      </c>
      <c r="B21" s="253" t="s">
        <v>679</v>
      </c>
      <c r="C21" s="292"/>
      <c r="D21" s="293"/>
      <c r="E21" s="214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s="7" customFormat="1" ht="12.75">
      <c r="A22" s="207" t="s">
        <v>591</v>
      </c>
      <c r="B22" s="255" t="s">
        <v>680</v>
      </c>
      <c r="C22" s="294" t="s">
        <v>43</v>
      </c>
      <c r="D22" s="288">
        <v>2.92</v>
      </c>
      <c r="E22" s="214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s="7" customFormat="1" ht="51">
      <c r="A23" s="207" t="s">
        <v>592</v>
      </c>
      <c r="B23" s="255" t="s">
        <v>681</v>
      </c>
      <c r="C23" s="294" t="s">
        <v>43</v>
      </c>
      <c r="D23" s="288">
        <v>0.5</v>
      </c>
      <c r="E23" s="214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s="7" customFormat="1" ht="38.25">
      <c r="A24" s="207" t="s">
        <v>593</v>
      </c>
      <c r="B24" s="255" t="s">
        <v>682</v>
      </c>
      <c r="C24" s="294" t="s">
        <v>43</v>
      </c>
      <c r="D24" s="288">
        <v>21.05</v>
      </c>
      <c r="E24" s="214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1:15" s="7" customFormat="1" ht="25.5">
      <c r="A25" s="207" t="s">
        <v>595</v>
      </c>
      <c r="B25" s="255" t="s">
        <v>683</v>
      </c>
      <c r="C25" s="294" t="s">
        <v>684</v>
      </c>
      <c r="D25" s="288">
        <v>1.9</v>
      </c>
      <c r="E25" s="214"/>
      <c r="F25" s="21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5" s="7" customFormat="1" ht="25.5">
      <c r="A26" s="207" t="s">
        <v>596</v>
      </c>
      <c r="B26" s="255" t="s">
        <v>685</v>
      </c>
      <c r="C26" s="294" t="s">
        <v>684</v>
      </c>
      <c r="D26" s="288">
        <v>12.55</v>
      </c>
      <c r="E26" s="214"/>
      <c r="F26" s="21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s="7" customFormat="1" ht="25.5">
      <c r="A27" s="207" t="s">
        <v>597</v>
      </c>
      <c r="B27" s="255" t="s">
        <v>686</v>
      </c>
      <c r="C27" s="287" t="s">
        <v>43</v>
      </c>
      <c r="D27" s="288">
        <v>7.65</v>
      </c>
      <c r="E27" s="214"/>
      <c r="F27" s="21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1:15" s="7" customFormat="1" ht="25.5">
      <c r="A28" s="207" t="s">
        <v>617</v>
      </c>
      <c r="B28" s="253" t="s">
        <v>687</v>
      </c>
      <c r="C28" s="292"/>
      <c r="D28" s="293"/>
      <c r="E28" s="214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s="7" customFormat="1" ht="25.5">
      <c r="A29" s="207" t="s">
        <v>618</v>
      </c>
      <c r="B29" s="254" t="s">
        <v>688</v>
      </c>
      <c r="C29" s="287" t="s">
        <v>44</v>
      </c>
      <c r="D29" s="288">
        <v>0.56</v>
      </c>
      <c r="E29" s="214"/>
      <c r="F29" s="213"/>
      <c r="G29" s="213"/>
      <c r="H29" s="213"/>
      <c r="I29" s="213"/>
      <c r="J29" s="213"/>
      <c r="K29" s="213"/>
      <c r="L29" s="213"/>
      <c r="M29" s="213"/>
      <c r="N29" s="213"/>
      <c r="O29" s="213"/>
    </row>
    <row r="30" spans="1:15" s="7" customFormat="1" ht="12.75">
      <c r="A30" s="207" t="s">
        <v>619</v>
      </c>
      <c r="B30" s="256" t="s">
        <v>689</v>
      </c>
      <c r="C30" s="287" t="s">
        <v>41</v>
      </c>
      <c r="D30" s="288">
        <v>11.85</v>
      </c>
      <c r="E30" s="214"/>
      <c r="F30" s="21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5" s="7" customFormat="1" ht="25.5">
      <c r="A31" s="207" t="s">
        <v>620</v>
      </c>
      <c r="B31" s="256" t="s">
        <v>690</v>
      </c>
      <c r="C31" s="287" t="s">
        <v>43</v>
      </c>
      <c r="D31" s="288">
        <v>3.05</v>
      </c>
      <c r="E31" s="214"/>
      <c r="F31" s="21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15" s="7" customFormat="1" ht="25.5">
      <c r="A32" s="207" t="s">
        <v>621</v>
      </c>
      <c r="B32" s="256" t="s">
        <v>691</v>
      </c>
      <c r="C32" s="287" t="s">
        <v>36</v>
      </c>
      <c r="D32" s="288">
        <v>3.05</v>
      </c>
      <c r="E32" s="214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s="7" customFormat="1" ht="12.75">
      <c r="A33" s="207" t="s">
        <v>622</v>
      </c>
      <c r="B33" s="256" t="s">
        <v>692</v>
      </c>
      <c r="C33" s="287" t="s">
        <v>36</v>
      </c>
      <c r="D33" s="288">
        <v>3.05</v>
      </c>
      <c r="E33" s="214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1:15" s="7" customFormat="1" ht="12.75">
      <c r="A34" s="207" t="s">
        <v>623</v>
      </c>
      <c r="B34" s="253" t="s">
        <v>693</v>
      </c>
      <c r="C34" s="292"/>
      <c r="D34" s="293"/>
      <c r="E34" s="214"/>
      <c r="F34" s="21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1:15" s="7" customFormat="1" ht="12.75">
      <c r="A35" s="207" t="s">
        <v>624</v>
      </c>
      <c r="B35" s="254" t="s">
        <v>601</v>
      </c>
      <c r="C35" s="287" t="s">
        <v>43</v>
      </c>
      <c r="D35" s="288">
        <v>112.92</v>
      </c>
      <c r="E35" s="214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s="7" customFormat="1" ht="38.25">
      <c r="A36" s="207" t="s">
        <v>625</v>
      </c>
      <c r="B36" s="257" t="s">
        <v>694</v>
      </c>
      <c r="C36" s="287" t="s">
        <v>43</v>
      </c>
      <c r="D36" s="288">
        <v>112.92</v>
      </c>
      <c r="E36" s="214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 s="7" customFormat="1" ht="27" customHeight="1">
      <c r="A37" s="207" t="s">
        <v>626</v>
      </c>
      <c r="B37" s="254" t="s">
        <v>602</v>
      </c>
      <c r="C37" s="287" t="s">
        <v>43</v>
      </c>
      <c r="D37" s="288">
        <v>112.92</v>
      </c>
      <c r="E37" s="214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 s="7" customFormat="1" ht="38.25">
      <c r="A38" s="207" t="s">
        <v>627</v>
      </c>
      <c r="B38" s="254" t="s">
        <v>695</v>
      </c>
      <c r="C38" s="287" t="s">
        <v>43</v>
      </c>
      <c r="D38" s="288">
        <v>112.92</v>
      </c>
      <c r="E38" s="214"/>
      <c r="F38" s="213"/>
      <c r="G38" s="213"/>
      <c r="H38" s="213"/>
      <c r="I38" s="213"/>
      <c r="J38" s="213"/>
      <c r="K38" s="213"/>
      <c r="L38" s="213"/>
      <c r="M38" s="213"/>
      <c r="N38" s="213"/>
      <c r="O38" s="213"/>
    </row>
    <row r="39" spans="1:15" s="7" customFormat="1" ht="25.5">
      <c r="A39" s="207" t="s">
        <v>628</v>
      </c>
      <c r="B39" s="254" t="s">
        <v>696</v>
      </c>
      <c r="C39" s="287" t="s">
        <v>43</v>
      </c>
      <c r="D39" s="288">
        <v>112.92</v>
      </c>
      <c r="E39" s="214"/>
      <c r="F39" s="213"/>
      <c r="G39" s="213"/>
      <c r="H39" s="213"/>
      <c r="I39" s="213"/>
      <c r="J39" s="213"/>
      <c r="K39" s="213"/>
      <c r="L39" s="213"/>
      <c r="M39" s="213"/>
      <c r="N39" s="213"/>
      <c r="O39" s="213"/>
    </row>
    <row r="40" spans="1:15" s="7" customFormat="1" ht="103.5">
      <c r="A40" s="207" t="s">
        <v>629</v>
      </c>
      <c r="B40" s="254" t="s">
        <v>697</v>
      </c>
      <c r="C40" s="287" t="s">
        <v>43</v>
      </c>
      <c r="D40" s="288">
        <v>112.92</v>
      </c>
      <c r="E40" s="214"/>
      <c r="F40" s="213"/>
      <c r="G40" s="213"/>
      <c r="H40" s="213"/>
      <c r="I40" s="213"/>
      <c r="J40" s="213"/>
      <c r="K40" s="213"/>
      <c r="L40" s="213"/>
      <c r="M40" s="213"/>
      <c r="N40" s="213"/>
      <c r="O40" s="213"/>
    </row>
    <row r="41" spans="1:15" s="7" customFormat="1" ht="12.75">
      <c r="A41" s="207" t="s">
        <v>630</v>
      </c>
      <c r="B41" s="254" t="s">
        <v>603</v>
      </c>
      <c r="C41" s="287" t="s">
        <v>36</v>
      </c>
      <c r="D41" s="288">
        <v>43</v>
      </c>
      <c r="E41" s="214"/>
      <c r="F41" s="21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1:15" s="7" customFormat="1" ht="12.75">
      <c r="A42" s="207" t="s">
        <v>631</v>
      </c>
      <c r="B42" s="253" t="s">
        <v>604</v>
      </c>
      <c r="C42" s="292"/>
      <c r="D42" s="293"/>
      <c r="E42" s="214"/>
      <c r="F42" s="21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1:15" s="7" customFormat="1" ht="90" customHeight="1">
      <c r="A43" s="207" t="s">
        <v>632</v>
      </c>
      <c r="B43" s="254" t="s">
        <v>698</v>
      </c>
      <c r="C43" s="287" t="s">
        <v>43</v>
      </c>
      <c r="D43" s="288">
        <v>6.24</v>
      </c>
      <c r="E43" s="214"/>
      <c r="F43" s="213"/>
      <c r="G43" s="213"/>
      <c r="H43" s="213"/>
      <c r="I43" s="213"/>
      <c r="J43" s="213"/>
      <c r="K43" s="213"/>
      <c r="L43" s="213"/>
      <c r="M43" s="213"/>
      <c r="N43" s="213"/>
      <c r="O43" s="213"/>
    </row>
    <row r="44" spans="1:15" s="7" customFormat="1" ht="90.75" customHeight="1">
      <c r="A44" s="207" t="s">
        <v>633</v>
      </c>
      <c r="B44" s="254" t="s">
        <v>699</v>
      </c>
      <c r="C44" s="287" t="s">
        <v>43</v>
      </c>
      <c r="D44" s="288">
        <v>106.91</v>
      </c>
      <c r="E44" s="214"/>
      <c r="F44" s="213"/>
      <c r="G44" s="213"/>
      <c r="H44" s="213"/>
      <c r="I44" s="213"/>
      <c r="J44" s="213"/>
      <c r="K44" s="213"/>
      <c r="L44" s="213"/>
      <c r="M44" s="213"/>
      <c r="N44" s="213"/>
      <c r="O44" s="213"/>
    </row>
    <row r="45" spans="1:15" s="7" customFormat="1" ht="38.25">
      <c r="A45" s="207" t="s">
        <v>634</v>
      </c>
      <c r="B45" s="254" t="s">
        <v>700</v>
      </c>
      <c r="C45" s="287" t="s">
        <v>43</v>
      </c>
      <c r="D45" s="288">
        <v>3</v>
      </c>
      <c r="E45" s="214"/>
      <c r="F45" s="213"/>
      <c r="G45" s="213"/>
      <c r="H45" s="213"/>
      <c r="I45" s="213"/>
      <c r="J45" s="213"/>
      <c r="K45" s="213"/>
      <c r="L45" s="213"/>
      <c r="M45" s="213"/>
      <c r="N45" s="213"/>
      <c r="O45" s="213"/>
    </row>
    <row r="46" spans="1:15" s="7" customFormat="1" ht="12.75">
      <c r="A46" s="207" t="s">
        <v>635</v>
      </c>
      <c r="B46" s="258" t="s">
        <v>605</v>
      </c>
      <c r="C46" s="287"/>
      <c r="D46" s="288"/>
      <c r="E46" s="214"/>
      <c r="F46" s="213"/>
      <c r="G46" s="213"/>
      <c r="H46" s="213"/>
      <c r="I46" s="213"/>
      <c r="J46" s="213"/>
      <c r="K46" s="213"/>
      <c r="L46" s="213"/>
      <c r="M46" s="213"/>
      <c r="N46" s="213"/>
      <c r="O46" s="213"/>
    </row>
    <row r="47" spans="1:15" s="7" customFormat="1" ht="25.5">
      <c r="A47" s="207" t="s">
        <v>636</v>
      </c>
      <c r="B47" s="254" t="s">
        <v>606</v>
      </c>
      <c r="C47" s="287" t="s">
        <v>43</v>
      </c>
      <c r="D47" s="288">
        <v>37</v>
      </c>
      <c r="E47" s="214"/>
      <c r="F47" s="213"/>
      <c r="G47" s="213"/>
      <c r="H47" s="213"/>
      <c r="I47" s="213"/>
      <c r="J47" s="213"/>
      <c r="K47" s="213"/>
      <c r="L47" s="213"/>
      <c r="M47" s="213"/>
      <c r="N47" s="213"/>
      <c r="O47" s="213"/>
    </row>
    <row r="48" spans="1:15" s="7" customFormat="1" ht="12.75">
      <c r="A48" s="207" t="s">
        <v>637</v>
      </c>
      <c r="B48" s="254" t="s">
        <v>607</v>
      </c>
      <c r="C48" s="287" t="s">
        <v>43</v>
      </c>
      <c r="D48" s="288">
        <v>131.83</v>
      </c>
      <c r="E48" s="214"/>
      <c r="F48" s="213"/>
      <c r="G48" s="213"/>
      <c r="H48" s="213"/>
      <c r="I48" s="213"/>
      <c r="J48" s="213"/>
      <c r="K48" s="213"/>
      <c r="L48" s="213"/>
      <c r="M48" s="213"/>
      <c r="N48" s="213"/>
      <c r="O48" s="213"/>
    </row>
    <row r="49" spans="1:15" s="7" customFormat="1" ht="25.5">
      <c r="A49" s="207" t="s">
        <v>638</v>
      </c>
      <c r="B49" s="259" t="s">
        <v>608</v>
      </c>
      <c r="C49" s="287" t="s">
        <v>43</v>
      </c>
      <c r="D49" s="288">
        <v>131.83</v>
      </c>
      <c r="E49" s="214"/>
      <c r="F49" s="213"/>
      <c r="G49" s="213"/>
      <c r="H49" s="213"/>
      <c r="I49" s="213"/>
      <c r="J49" s="213"/>
      <c r="K49" s="213"/>
      <c r="L49" s="213"/>
      <c r="M49" s="213"/>
      <c r="N49" s="213"/>
      <c r="O49" s="213"/>
    </row>
    <row r="50" spans="1:15" s="7" customFormat="1" ht="38.25">
      <c r="A50" s="207" t="s">
        <v>639</v>
      </c>
      <c r="B50" s="259" t="s">
        <v>701</v>
      </c>
      <c r="C50" s="287" t="s">
        <v>43</v>
      </c>
      <c r="D50" s="288">
        <v>110.78</v>
      </c>
      <c r="E50" s="214"/>
      <c r="F50" s="213"/>
      <c r="G50" s="213"/>
      <c r="H50" s="213"/>
      <c r="I50" s="213"/>
      <c r="J50" s="213"/>
      <c r="K50" s="213"/>
      <c r="L50" s="213"/>
      <c r="M50" s="213"/>
      <c r="N50" s="213"/>
      <c r="O50" s="213"/>
    </row>
    <row r="51" spans="1:15" s="7" customFormat="1" ht="12.75">
      <c r="A51" s="207" t="s">
        <v>640</v>
      </c>
      <c r="B51" s="253" t="s">
        <v>609</v>
      </c>
      <c r="C51" s="292"/>
      <c r="D51" s="293"/>
      <c r="E51" s="214"/>
      <c r="F51" s="213"/>
      <c r="G51" s="213"/>
      <c r="H51" s="213"/>
      <c r="I51" s="213"/>
      <c r="J51" s="213"/>
      <c r="K51" s="213"/>
      <c r="L51" s="213"/>
      <c r="M51" s="213"/>
      <c r="N51" s="213"/>
      <c r="O51" s="213"/>
    </row>
    <row r="52" spans="1:15" s="7" customFormat="1" ht="25.5">
      <c r="A52" s="207" t="s">
        <v>641</v>
      </c>
      <c r="B52" s="260" t="s">
        <v>702</v>
      </c>
      <c r="C52" s="287" t="s">
        <v>43</v>
      </c>
      <c r="D52" s="288">
        <v>114.1</v>
      </c>
      <c r="E52" s="214"/>
      <c r="F52" s="213"/>
      <c r="G52" s="213"/>
      <c r="H52" s="213"/>
      <c r="I52" s="213"/>
      <c r="J52" s="213"/>
      <c r="K52" s="213"/>
      <c r="L52" s="213"/>
      <c r="M52" s="213"/>
      <c r="N52" s="213"/>
      <c r="O52" s="213"/>
    </row>
    <row r="53" spans="1:15" s="7" customFormat="1" ht="25.5">
      <c r="A53" s="207" t="s">
        <v>642</v>
      </c>
      <c r="B53" s="260" t="s">
        <v>703</v>
      </c>
      <c r="C53" s="287" t="s">
        <v>704</v>
      </c>
      <c r="D53" s="295">
        <v>13.9</v>
      </c>
      <c r="E53" s="214"/>
      <c r="F53" s="213"/>
      <c r="G53" s="213"/>
      <c r="H53" s="213"/>
      <c r="I53" s="213"/>
      <c r="J53" s="213"/>
      <c r="K53" s="213"/>
      <c r="L53" s="213"/>
      <c r="M53" s="213"/>
      <c r="N53" s="213"/>
      <c r="O53" s="213"/>
    </row>
    <row r="54" spans="1:15" s="7" customFormat="1" ht="25.5">
      <c r="A54" s="207" t="s">
        <v>643</v>
      </c>
      <c r="B54" s="254" t="s">
        <v>610</v>
      </c>
      <c r="C54" s="287" t="s">
        <v>43</v>
      </c>
      <c r="D54" s="296">
        <v>114.1</v>
      </c>
      <c r="E54" s="214"/>
      <c r="F54" s="213"/>
      <c r="G54" s="213"/>
      <c r="H54" s="213"/>
      <c r="I54" s="213"/>
      <c r="J54" s="213"/>
      <c r="K54" s="213"/>
      <c r="L54" s="213"/>
      <c r="M54" s="213"/>
      <c r="N54" s="213"/>
      <c r="O54" s="213"/>
    </row>
    <row r="55" spans="1:15" s="7" customFormat="1" ht="25.5">
      <c r="A55" s="207" t="s">
        <v>644</v>
      </c>
      <c r="B55" s="254" t="s">
        <v>611</v>
      </c>
      <c r="C55" s="287" t="s">
        <v>43</v>
      </c>
      <c r="D55" s="296">
        <v>114.1</v>
      </c>
      <c r="E55" s="214"/>
      <c r="F55" s="213"/>
      <c r="G55" s="213"/>
      <c r="H55" s="213"/>
      <c r="I55" s="213"/>
      <c r="J55" s="213"/>
      <c r="K55" s="213"/>
      <c r="L55" s="213"/>
      <c r="M55" s="213"/>
      <c r="N55" s="213"/>
      <c r="O55" s="213"/>
    </row>
    <row r="56" spans="1:15" s="7" customFormat="1" ht="76.5">
      <c r="A56" s="207" t="s">
        <v>645</v>
      </c>
      <c r="B56" s="254" t="s">
        <v>705</v>
      </c>
      <c r="C56" s="287" t="s">
        <v>43</v>
      </c>
      <c r="D56" s="296">
        <v>120</v>
      </c>
      <c r="E56" s="214"/>
      <c r="F56" s="213"/>
      <c r="G56" s="213"/>
      <c r="H56" s="213"/>
      <c r="I56" s="213"/>
      <c r="J56" s="213"/>
      <c r="K56" s="213"/>
      <c r="L56" s="213"/>
      <c r="M56" s="213"/>
      <c r="N56" s="213"/>
      <c r="O56" s="213"/>
    </row>
    <row r="57" spans="1:15" s="7" customFormat="1" ht="12.75">
      <c r="A57" s="207" t="s">
        <v>646</v>
      </c>
      <c r="B57" s="253" t="s">
        <v>566</v>
      </c>
      <c r="C57" s="292"/>
      <c r="D57" s="293"/>
      <c r="E57" s="214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s="7" customFormat="1" ht="25.5">
      <c r="A58" s="207" t="s">
        <v>647</v>
      </c>
      <c r="B58" s="254" t="s">
        <v>662</v>
      </c>
      <c r="C58" s="287" t="s">
        <v>43</v>
      </c>
      <c r="D58" s="288">
        <v>2.1</v>
      </c>
      <c r="E58" s="214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s="7" customFormat="1" ht="25.5">
      <c r="A59" s="207" t="s">
        <v>648</v>
      </c>
      <c r="B59" s="254" t="s">
        <v>706</v>
      </c>
      <c r="C59" s="287" t="s">
        <v>43</v>
      </c>
      <c r="D59" s="288">
        <v>1.73</v>
      </c>
      <c r="E59" s="214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  <row r="60" spans="1:15" s="7" customFormat="1" ht="12.75">
      <c r="A60" s="332" t="s">
        <v>663</v>
      </c>
      <c r="B60" s="332"/>
      <c r="C60" s="332"/>
      <c r="D60" s="332"/>
      <c r="E60" s="332"/>
      <c r="F60" s="332"/>
      <c r="G60" s="332"/>
      <c r="H60" s="332"/>
      <c r="I60" s="332"/>
      <c r="J60" s="332"/>
      <c r="K60" s="213"/>
      <c r="L60" s="213"/>
      <c r="M60" s="213"/>
      <c r="N60" s="213"/>
      <c r="O60" s="213"/>
    </row>
    <row r="61" spans="1:15" ht="12.75" customHeight="1">
      <c r="A61" s="333" t="s">
        <v>551</v>
      </c>
      <c r="B61" s="333"/>
      <c r="C61" s="333"/>
      <c r="D61" s="333"/>
      <c r="E61" s="333"/>
      <c r="F61" s="333"/>
      <c r="G61" s="333"/>
      <c r="H61" s="333"/>
      <c r="I61" s="333"/>
      <c r="J61" s="333"/>
      <c r="K61" s="215"/>
      <c r="L61" s="215"/>
      <c r="M61" s="215"/>
      <c r="N61" s="215"/>
      <c r="O61" s="215"/>
    </row>
    <row r="62" spans="1:15" ht="12" customHeight="1">
      <c r="A62" s="197"/>
      <c r="B62" s="7"/>
      <c r="C62" s="265"/>
      <c r="D62" s="266"/>
      <c r="E62" s="186"/>
      <c r="F62" s="187"/>
      <c r="G62" s="187"/>
      <c r="H62" s="186"/>
      <c r="I62" s="188"/>
      <c r="J62" s="187"/>
      <c r="K62" s="187"/>
      <c r="L62" s="187"/>
      <c r="M62" s="187"/>
      <c r="N62" s="187"/>
      <c r="O62" s="187"/>
    </row>
    <row r="63" spans="1:9" ht="15.75" customHeight="1">
      <c r="A63" s="228" t="s">
        <v>6</v>
      </c>
      <c r="B63" s="216"/>
      <c r="C63" s="267"/>
      <c r="D63" s="218"/>
      <c r="E63" s="218"/>
      <c r="F63" s="219"/>
      <c r="G63" s="219"/>
      <c r="I63"/>
    </row>
    <row r="64" spans="1:9" ht="15.75" customHeight="1">
      <c r="A64" s="220"/>
      <c r="B64" s="216"/>
      <c r="C64" s="221" t="s">
        <v>548</v>
      </c>
      <c r="D64" s="222"/>
      <c r="E64" s="222"/>
      <c r="F64" s="223"/>
      <c r="G64" s="223"/>
      <c r="I64"/>
    </row>
    <row r="65" spans="1:13" ht="15">
      <c r="A65" s="224"/>
      <c r="B65" s="198"/>
      <c r="C65" s="238"/>
      <c r="D65" s="318" t="s">
        <v>668</v>
      </c>
      <c r="E65" s="318"/>
      <c r="F65" s="318"/>
      <c r="G65" s="318"/>
      <c r="H65" s="318"/>
      <c r="I65" s="318"/>
      <c r="J65" s="226"/>
      <c r="M65" s="198"/>
    </row>
    <row r="66" spans="1:13" ht="15">
      <c r="A66" s="224"/>
      <c r="B66" s="198"/>
      <c r="C66" s="238"/>
      <c r="D66" s="268"/>
      <c r="E66" s="227"/>
      <c r="F66" s="227"/>
      <c r="G66" s="227"/>
      <c r="H66" s="227"/>
      <c r="I66" s="227"/>
      <c r="J66" s="226"/>
      <c r="M66" s="198"/>
    </row>
    <row r="67" spans="1:9" ht="15.75" customHeight="1">
      <c r="A67" s="228" t="s">
        <v>572</v>
      </c>
      <c r="B67" s="216"/>
      <c r="C67" s="269"/>
      <c r="D67" s="230"/>
      <c r="E67" s="230"/>
      <c r="F67" s="231"/>
      <c r="G67" s="231"/>
      <c r="I67"/>
    </row>
    <row r="68" spans="1:9" ht="15.75" customHeight="1">
      <c r="A68" s="220"/>
      <c r="B68" s="216"/>
      <c r="C68" s="221" t="s">
        <v>548</v>
      </c>
      <c r="D68" s="222"/>
      <c r="E68" s="222"/>
      <c r="F68" s="223"/>
      <c r="G68" s="223"/>
      <c r="I68"/>
    </row>
    <row r="69" spans="1:9" ht="15.75">
      <c r="A69" s="220"/>
      <c r="B69" s="216"/>
      <c r="C69" s="232"/>
      <c r="D69" s="222"/>
      <c r="E69" s="222"/>
      <c r="F69" s="223"/>
      <c r="G69" s="223"/>
      <c r="I69"/>
    </row>
    <row r="70" spans="1:9" ht="15" customHeight="1">
      <c r="A70" s="233" t="s">
        <v>669</v>
      </c>
      <c r="B70" s="234"/>
      <c r="C70" s="270"/>
      <c r="D70" s="222"/>
      <c r="E70" s="222"/>
      <c r="F70" s="236"/>
      <c r="G70" s="236"/>
      <c r="I70"/>
    </row>
    <row r="71" spans="1:9" ht="12.75">
      <c r="A71"/>
      <c r="C71" s="271"/>
      <c r="D71" s="238"/>
      <c r="E71" s="239"/>
      <c r="I71"/>
    </row>
  </sheetData>
  <sheetProtection/>
  <mergeCells count="16">
    <mergeCell ref="A7:H7"/>
    <mergeCell ref="D65:I65"/>
    <mergeCell ref="A14:A15"/>
    <mergeCell ref="B14:B15"/>
    <mergeCell ref="C14:C15"/>
    <mergeCell ref="D14:D15"/>
    <mergeCell ref="A8:K8"/>
    <mergeCell ref="A2:O2"/>
    <mergeCell ref="A3:O3"/>
    <mergeCell ref="A60:J60"/>
    <mergeCell ref="A61:J61"/>
    <mergeCell ref="E14:J14"/>
    <mergeCell ref="K14:O14"/>
    <mergeCell ref="A9:H9"/>
    <mergeCell ref="A5:H5"/>
    <mergeCell ref="A6:H6"/>
  </mergeCells>
  <printOptions/>
  <pageMargins left="0.7874015748031497" right="0.7874015748031497" top="1.1811023622047245" bottom="1.1811023622047245" header="0.31496062992125984" footer="0.31496062992125984"/>
  <pageSetup fitToHeight="0" fitToWidth="1" horizontalDpi="600" verticalDpi="600" orientation="landscape" paperSize="9" scale="86" r:id="rId1"/>
  <headerFooter>
    <oddFooter>&amp;C1.tāme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2">
      <selection activeCell="B21" sqref="B21"/>
    </sheetView>
  </sheetViews>
  <sheetFormatPr defaultColWidth="9.140625" defaultRowHeight="12.75"/>
  <cols>
    <col min="1" max="1" width="6.8515625" style="198" customWidth="1"/>
    <col min="2" max="2" width="23.421875" style="0" customWidth="1"/>
    <col min="3" max="3" width="17.7109375" style="0" customWidth="1"/>
    <col min="4" max="4" width="6.57421875" style="181" customWidth="1"/>
    <col min="5" max="5" width="6.57421875" style="201" customWidth="1"/>
    <col min="6" max="9" width="8.7109375" style="0" customWidth="1"/>
    <col min="10" max="10" width="8.7109375" style="53" customWidth="1"/>
    <col min="11" max="16" width="8.7109375" style="0" customWidth="1"/>
    <col min="17" max="17" width="10.28125" style="0" bestFit="1" customWidth="1"/>
  </cols>
  <sheetData>
    <row r="1" spans="1:16" ht="12.75" hidden="1">
      <c r="A1" s="195"/>
      <c r="B1" s="53"/>
      <c r="C1" s="53"/>
      <c r="D1" s="192"/>
      <c r="F1" s="53"/>
      <c r="G1" s="53">
        <v>5</v>
      </c>
      <c r="H1" s="53"/>
      <c r="I1" s="53"/>
      <c r="J1" s="189">
        <v>0.08</v>
      </c>
      <c r="K1" s="53"/>
      <c r="L1" s="53"/>
      <c r="M1" s="53"/>
      <c r="N1" s="53"/>
      <c r="O1" s="53"/>
      <c r="P1" s="53"/>
    </row>
    <row r="2" spans="1:16" s="52" customFormat="1" ht="16.5" thickBot="1">
      <c r="A2" s="330" t="s">
        <v>567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52" customFormat="1" ht="15.75" thickTop="1">
      <c r="A3" s="331" t="s">
        <v>707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s="52" customFormat="1" ht="12.75">
      <c r="A4" s="41"/>
      <c r="B4" s="41"/>
      <c r="C4" s="41"/>
      <c r="D4" s="193"/>
      <c r="E4" s="20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s="52" customFormat="1" ht="12" customHeight="1">
      <c r="A5" s="312" t="s">
        <v>796</v>
      </c>
      <c r="B5" s="312"/>
      <c r="C5" s="312"/>
      <c r="D5" s="312"/>
      <c r="E5" s="312"/>
      <c r="F5" s="312"/>
      <c r="G5" s="312"/>
      <c r="H5" s="312"/>
      <c r="I5" s="204"/>
      <c r="J5" s="204"/>
      <c r="K5" s="204"/>
      <c r="L5" s="204"/>
      <c r="M5" s="204"/>
      <c r="N5" s="17"/>
      <c r="O5" s="17"/>
    </row>
    <row r="6" spans="1:15" s="52" customFormat="1" ht="12.75">
      <c r="A6" s="312" t="s">
        <v>797</v>
      </c>
      <c r="B6" s="312"/>
      <c r="C6" s="312"/>
      <c r="D6" s="312"/>
      <c r="E6" s="312"/>
      <c r="F6" s="312"/>
      <c r="G6" s="312"/>
      <c r="H6" s="312"/>
      <c r="I6" s="204"/>
      <c r="J6" s="204"/>
      <c r="K6" s="204"/>
      <c r="L6" s="204"/>
      <c r="M6" s="204"/>
      <c r="N6" s="17"/>
      <c r="O6" s="17"/>
    </row>
    <row r="7" spans="1:13" s="247" customFormat="1" ht="14.25" customHeight="1">
      <c r="A7" s="314" t="s">
        <v>795</v>
      </c>
      <c r="B7" s="314"/>
      <c r="C7" s="314"/>
      <c r="D7" s="314"/>
      <c r="E7" s="314"/>
      <c r="F7" s="314"/>
      <c r="G7" s="314"/>
      <c r="H7" s="314"/>
      <c r="I7" s="17"/>
      <c r="J7" s="17"/>
      <c r="K7" s="17"/>
      <c r="L7" s="17"/>
      <c r="M7" s="246"/>
    </row>
    <row r="8" spans="1:13" s="247" customFormat="1" ht="12.75" customHeight="1">
      <c r="A8" s="312" t="s">
        <v>794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246"/>
      <c r="M8" s="245"/>
    </row>
    <row r="9" spans="1:13" s="247" customFormat="1" ht="12.75" customHeight="1">
      <c r="A9" s="313" t="s">
        <v>571</v>
      </c>
      <c r="B9" s="313"/>
      <c r="C9" s="313"/>
      <c r="D9" s="313"/>
      <c r="E9" s="313"/>
      <c r="F9" s="313"/>
      <c r="G9" s="313"/>
      <c r="H9" s="313"/>
      <c r="I9" s="246"/>
      <c r="J9" s="246"/>
      <c r="K9" s="246"/>
      <c r="L9" s="246"/>
      <c r="M9" s="245"/>
    </row>
    <row r="10" spans="1:13" s="247" customFormat="1" ht="13.5" customHeight="1">
      <c r="A10" s="248"/>
      <c r="B10" s="248"/>
      <c r="C10" s="249"/>
      <c r="D10" s="249"/>
      <c r="E10" s="249"/>
      <c r="F10" s="249"/>
      <c r="G10" s="249"/>
      <c r="H10" s="249"/>
      <c r="I10" s="246"/>
      <c r="J10" s="246"/>
      <c r="K10" s="246"/>
      <c r="L10" s="246"/>
      <c r="M10" s="245"/>
    </row>
    <row r="11" spans="1:16" s="52" customFormat="1" ht="12.75">
      <c r="A11" s="52" t="s">
        <v>670</v>
      </c>
      <c r="C11" s="17"/>
      <c r="D11" s="17"/>
      <c r="I11" s="17"/>
      <c r="J11" s="17"/>
      <c r="K11" s="17"/>
      <c r="L11" s="17"/>
      <c r="M11" s="17"/>
      <c r="N11" s="17"/>
      <c r="O11" s="17"/>
      <c r="P11" s="17"/>
    </row>
    <row r="12" spans="3:16" s="52" customFormat="1" ht="12.75">
      <c r="C12" s="17"/>
      <c r="D12" s="17"/>
      <c r="I12" s="17"/>
      <c r="J12" s="17"/>
      <c r="K12" s="17"/>
      <c r="L12" s="17"/>
      <c r="M12" s="211" t="s">
        <v>672</v>
      </c>
      <c r="N12" s="243"/>
      <c r="O12" s="244" t="s">
        <v>671</v>
      </c>
      <c r="P12" s="17"/>
    </row>
    <row r="13" spans="3:16" s="52" customFormat="1" ht="12.75">
      <c r="C13" s="17"/>
      <c r="D13" s="17"/>
      <c r="E13" s="17"/>
      <c r="F13" s="211"/>
      <c r="G13" s="243"/>
      <c r="H13" s="244"/>
      <c r="I13" s="17"/>
      <c r="J13" s="17"/>
      <c r="K13" s="17"/>
      <c r="L13" s="17"/>
      <c r="M13" s="17"/>
      <c r="N13" s="17"/>
      <c r="O13" s="17"/>
      <c r="P13" s="17"/>
    </row>
    <row r="14" spans="1:16" s="131" customFormat="1" ht="12.75" customHeight="1">
      <c r="A14" s="335" t="s">
        <v>5</v>
      </c>
      <c r="B14" s="334" t="s">
        <v>674</v>
      </c>
      <c r="C14" s="340" t="s">
        <v>654</v>
      </c>
      <c r="D14" s="336" t="s">
        <v>546</v>
      </c>
      <c r="E14" s="336" t="s">
        <v>547</v>
      </c>
      <c r="F14" s="334" t="s">
        <v>559</v>
      </c>
      <c r="G14" s="334"/>
      <c r="H14" s="334"/>
      <c r="I14" s="334"/>
      <c r="J14" s="334"/>
      <c r="K14" s="334"/>
      <c r="L14" s="334" t="s">
        <v>560</v>
      </c>
      <c r="M14" s="334" t="s">
        <v>25</v>
      </c>
      <c r="N14" s="334"/>
      <c r="O14" s="334"/>
      <c r="P14" s="334"/>
    </row>
    <row r="15" spans="1:16" s="7" customFormat="1" ht="79.5">
      <c r="A15" s="335"/>
      <c r="B15" s="334"/>
      <c r="C15" s="341"/>
      <c r="D15" s="336"/>
      <c r="E15" s="336"/>
      <c r="F15" s="199" t="s">
        <v>583</v>
      </c>
      <c r="G15" s="199" t="s">
        <v>553</v>
      </c>
      <c r="H15" s="199" t="s">
        <v>673</v>
      </c>
      <c r="I15" s="200" t="s">
        <v>577</v>
      </c>
      <c r="J15" s="199" t="s">
        <v>578</v>
      </c>
      <c r="K15" s="199" t="s">
        <v>585</v>
      </c>
      <c r="L15" s="199" t="s">
        <v>30</v>
      </c>
      <c r="M15" s="199" t="s">
        <v>579</v>
      </c>
      <c r="N15" s="200" t="s">
        <v>580</v>
      </c>
      <c r="O15" s="199" t="s">
        <v>581</v>
      </c>
      <c r="P15" s="205" t="s">
        <v>582</v>
      </c>
    </row>
    <row r="16" spans="1:16" s="7" customFormat="1" ht="25.5">
      <c r="A16" s="206" t="s">
        <v>570</v>
      </c>
      <c r="B16" s="298" t="s">
        <v>708</v>
      </c>
      <c r="C16" s="297" t="s">
        <v>709</v>
      </c>
      <c r="D16" s="281" t="s">
        <v>148</v>
      </c>
      <c r="E16" s="282">
        <v>1</v>
      </c>
      <c r="F16" s="214"/>
      <c r="G16" s="214"/>
      <c r="H16" s="214"/>
      <c r="I16" s="213"/>
      <c r="J16" s="213"/>
      <c r="K16" s="213"/>
      <c r="L16" s="213"/>
      <c r="M16" s="213"/>
      <c r="N16" s="213"/>
      <c r="O16" s="213"/>
      <c r="P16" s="213"/>
    </row>
    <row r="17" spans="1:16" s="7" customFormat="1" ht="12.75">
      <c r="A17" s="206" t="s">
        <v>586</v>
      </c>
      <c r="B17" s="298" t="s">
        <v>710</v>
      </c>
      <c r="C17" s="299" t="s">
        <v>711</v>
      </c>
      <c r="D17" s="281" t="s">
        <v>148</v>
      </c>
      <c r="E17" s="282">
        <v>2</v>
      </c>
      <c r="F17" s="214"/>
      <c r="G17" s="214"/>
      <c r="H17" s="214"/>
      <c r="I17" s="213"/>
      <c r="J17" s="213"/>
      <c r="K17" s="213"/>
      <c r="L17" s="213"/>
      <c r="M17" s="213"/>
      <c r="N17" s="213"/>
      <c r="O17" s="213"/>
      <c r="P17" s="213"/>
    </row>
    <row r="18" spans="1:16" s="7" customFormat="1" ht="12.75">
      <c r="A18" s="206" t="s">
        <v>587</v>
      </c>
      <c r="B18" s="298" t="s">
        <v>712</v>
      </c>
      <c r="C18" s="299" t="s">
        <v>713</v>
      </c>
      <c r="D18" s="281" t="s">
        <v>148</v>
      </c>
      <c r="E18" s="282">
        <v>2</v>
      </c>
      <c r="F18" s="214"/>
      <c r="G18" s="214"/>
      <c r="H18" s="214"/>
      <c r="I18" s="213"/>
      <c r="J18" s="213"/>
      <c r="K18" s="213"/>
      <c r="L18" s="213"/>
      <c r="M18" s="213"/>
      <c r="N18" s="213"/>
      <c r="O18" s="213"/>
      <c r="P18" s="213"/>
    </row>
    <row r="19" spans="1:16" s="7" customFormat="1" ht="12.75">
      <c r="A19" s="206" t="s">
        <v>588</v>
      </c>
      <c r="B19" s="298" t="s">
        <v>714</v>
      </c>
      <c r="C19" s="299" t="s">
        <v>715</v>
      </c>
      <c r="D19" s="281" t="s">
        <v>148</v>
      </c>
      <c r="E19" s="282">
        <v>2</v>
      </c>
      <c r="F19" s="214"/>
      <c r="G19" s="214"/>
      <c r="H19" s="214"/>
      <c r="I19" s="213"/>
      <c r="J19" s="213"/>
      <c r="K19" s="213"/>
      <c r="L19" s="213"/>
      <c r="M19" s="213"/>
      <c r="N19" s="213"/>
      <c r="O19" s="213"/>
      <c r="P19" s="213"/>
    </row>
    <row r="20" spans="1:16" s="7" customFormat="1" ht="12.75">
      <c r="A20" s="206" t="s">
        <v>589</v>
      </c>
      <c r="B20" s="298" t="s">
        <v>716</v>
      </c>
      <c r="C20" s="299" t="s">
        <v>717</v>
      </c>
      <c r="D20" s="281" t="s">
        <v>148</v>
      </c>
      <c r="E20" s="282">
        <v>1</v>
      </c>
      <c r="F20" s="214"/>
      <c r="G20" s="214"/>
      <c r="H20" s="214"/>
      <c r="I20" s="213"/>
      <c r="J20" s="213"/>
      <c r="K20" s="213"/>
      <c r="L20" s="213"/>
      <c r="M20" s="213"/>
      <c r="N20" s="213"/>
      <c r="O20" s="213"/>
      <c r="P20" s="213"/>
    </row>
    <row r="21" spans="1:16" s="7" customFormat="1" ht="12.75">
      <c r="A21" s="206" t="s">
        <v>590</v>
      </c>
      <c r="B21" s="298" t="s">
        <v>718</v>
      </c>
      <c r="C21" s="299" t="s">
        <v>719</v>
      </c>
      <c r="D21" s="281" t="s">
        <v>148</v>
      </c>
      <c r="E21" s="282">
        <v>1</v>
      </c>
      <c r="F21" s="214"/>
      <c r="G21" s="214"/>
      <c r="H21" s="214"/>
      <c r="I21" s="213"/>
      <c r="J21" s="213"/>
      <c r="K21" s="213"/>
      <c r="L21" s="213"/>
      <c r="M21" s="213"/>
      <c r="N21" s="213"/>
      <c r="O21" s="213"/>
      <c r="P21" s="213"/>
    </row>
    <row r="22" spans="1:16" s="7" customFormat="1" ht="25.5">
      <c r="A22" s="206" t="s">
        <v>591</v>
      </c>
      <c r="B22" s="298" t="s">
        <v>720</v>
      </c>
      <c r="C22" s="299" t="s">
        <v>721</v>
      </c>
      <c r="D22" s="281" t="s">
        <v>148</v>
      </c>
      <c r="E22" s="282">
        <v>1</v>
      </c>
      <c r="F22" s="214"/>
      <c r="G22" s="214"/>
      <c r="H22" s="214"/>
      <c r="I22" s="213"/>
      <c r="J22" s="213"/>
      <c r="K22" s="213"/>
      <c r="L22" s="213"/>
      <c r="M22" s="213"/>
      <c r="N22" s="213"/>
      <c r="O22" s="213"/>
      <c r="P22" s="213"/>
    </row>
    <row r="23" spans="1:16" s="7" customFormat="1" ht="12.75">
      <c r="A23" s="206" t="s">
        <v>592</v>
      </c>
      <c r="B23" s="298" t="s">
        <v>650</v>
      </c>
      <c r="C23" s="299" t="s">
        <v>722</v>
      </c>
      <c r="D23" s="283" t="s">
        <v>148</v>
      </c>
      <c r="E23" s="282">
        <v>5</v>
      </c>
      <c r="F23" s="214"/>
      <c r="G23" s="214"/>
      <c r="H23" s="214"/>
      <c r="I23" s="213"/>
      <c r="J23" s="213"/>
      <c r="K23" s="213"/>
      <c r="L23" s="213"/>
      <c r="M23" s="213"/>
      <c r="N23" s="213"/>
      <c r="O23" s="213"/>
      <c r="P23" s="213"/>
    </row>
    <row r="24" spans="1:16" s="7" customFormat="1" ht="25.5">
      <c r="A24" s="206" t="s">
        <v>593</v>
      </c>
      <c r="B24" s="298" t="s">
        <v>723</v>
      </c>
      <c r="C24" s="299" t="s">
        <v>724</v>
      </c>
      <c r="D24" s="283" t="s">
        <v>36</v>
      </c>
      <c r="E24" s="282">
        <v>50</v>
      </c>
      <c r="F24" s="214"/>
      <c r="G24" s="214"/>
      <c r="H24" s="214"/>
      <c r="I24" s="213"/>
      <c r="J24" s="213"/>
      <c r="K24" s="213"/>
      <c r="L24" s="213"/>
      <c r="M24" s="213"/>
      <c r="N24" s="213"/>
      <c r="O24" s="213"/>
      <c r="P24" s="213"/>
    </row>
    <row r="25" spans="1:16" s="7" customFormat="1" ht="25.5">
      <c r="A25" s="206" t="s">
        <v>595</v>
      </c>
      <c r="B25" s="298" t="s">
        <v>725</v>
      </c>
      <c r="C25" s="299" t="s">
        <v>726</v>
      </c>
      <c r="D25" s="283" t="s">
        <v>36</v>
      </c>
      <c r="E25" s="282">
        <v>50</v>
      </c>
      <c r="F25" s="214"/>
      <c r="G25" s="214"/>
      <c r="H25" s="214"/>
      <c r="I25" s="213"/>
      <c r="J25" s="213"/>
      <c r="K25" s="213"/>
      <c r="L25" s="213"/>
      <c r="M25" s="213"/>
      <c r="N25" s="213"/>
      <c r="O25" s="213"/>
      <c r="P25" s="213"/>
    </row>
    <row r="26" spans="1:16" s="7" customFormat="1" ht="25.5">
      <c r="A26" s="206" t="s">
        <v>596</v>
      </c>
      <c r="B26" s="298" t="s">
        <v>727</v>
      </c>
      <c r="C26" s="299" t="s">
        <v>728</v>
      </c>
      <c r="D26" s="283" t="s">
        <v>36</v>
      </c>
      <c r="E26" s="282">
        <v>15</v>
      </c>
      <c r="F26" s="214"/>
      <c r="G26" s="214"/>
      <c r="H26" s="214"/>
      <c r="I26" s="213"/>
      <c r="J26" s="213"/>
      <c r="K26" s="213"/>
      <c r="L26" s="213"/>
      <c r="M26" s="213"/>
      <c r="N26" s="213"/>
      <c r="O26" s="213"/>
      <c r="P26" s="213"/>
    </row>
    <row r="27" spans="1:16" s="7" customFormat="1" ht="12.75">
      <c r="A27" s="206" t="s">
        <v>597</v>
      </c>
      <c r="B27" s="298" t="s">
        <v>729</v>
      </c>
      <c r="C27" s="299" t="s">
        <v>730</v>
      </c>
      <c r="D27" s="283" t="s">
        <v>148</v>
      </c>
      <c r="E27" s="282">
        <v>1</v>
      </c>
      <c r="F27" s="214"/>
      <c r="G27" s="214"/>
      <c r="H27" s="214"/>
      <c r="I27" s="213"/>
      <c r="J27" s="213"/>
      <c r="K27" s="213"/>
      <c r="L27" s="213"/>
      <c r="M27" s="213"/>
      <c r="N27" s="213"/>
      <c r="O27" s="213"/>
      <c r="P27" s="213"/>
    </row>
    <row r="28" spans="1:16" s="7" customFormat="1" ht="12.75">
      <c r="A28" s="206" t="s">
        <v>617</v>
      </c>
      <c r="B28" s="298" t="s">
        <v>731</v>
      </c>
      <c r="C28" s="299" t="s">
        <v>732</v>
      </c>
      <c r="D28" s="283" t="s">
        <v>36</v>
      </c>
      <c r="E28" s="282">
        <v>50</v>
      </c>
      <c r="F28" s="214"/>
      <c r="G28" s="214"/>
      <c r="H28" s="214"/>
      <c r="I28" s="213"/>
      <c r="J28" s="213"/>
      <c r="K28" s="213"/>
      <c r="L28" s="213"/>
      <c r="M28" s="213"/>
      <c r="N28" s="213"/>
      <c r="O28" s="213"/>
      <c r="P28" s="213"/>
    </row>
    <row r="29" spans="1:16" s="7" customFormat="1" ht="12.75">
      <c r="A29" s="206" t="s">
        <v>618</v>
      </c>
      <c r="B29" s="298" t="s">
        <v>733</v>
      </c>
      <c r="C29" s="299" t="s">
        <v>734</v>
      </c>
      <c r="D29" s="283" t="s">
        <v>36</v>
      </c>
      <c r="E29" s="282">
        <v>3</v>
      </c>
      <c r="F29" s="214"/>
      <c r="G29" s="214"/>
      <c r="H29" s="214"/>
      <c r="I29" s="213"/>
      <c r="J29" s="213"/>
      <c r="K29" s="213"/>
      <c r="L29" s="213"/>
      <c r="M29" s="213"/>
      <c r="N29" s="213"/>
      <c r="O29" s="213"/>
      <c r="P29" s="213"/>
    </row>
    <row r="30" spans="1:16" s="7" customFormat="1" ht="12.75">
      <c r="A30" s="206" t="s">
        <v>619</v>
      </c>
      <c r="B30" s="298" t="s">
        <v>735</v>
      </c>
      <c r="C30" s="299"/>
      <c r="D30" s="283" t="s">
        <v>736</v>
      </c>
      <c r="E30" s="282">
        <v>1</v>
      </c>
      <c r="F30" s="214"/>
      <c r="G30" s="214"/>
      <c r="H30" s="214"/>
      <c r="I30" s="213"/>
      <c r="J30" s="213"/>
      <c r="K30" s="213"/>
      <c r="L30" s="213"/>
      <c r="M30" s="213"/>
      <c r="N30" s="213"/>
      <c r="O30" s="213"/>
      <c r="P30" s="213"/>
    </row>
    <row r="31" spans="1:16" s="7" customFormat="1" ht="12.75">
      <c r="A31" s="206" t="s">
        <v>620</v>
      </c>
      <c r="B31" s="298" t="s">
        <v>737</v>
      </c>
      <c r="C31" s="299"/>
      <c r="D31" s="283" t="s">
        <v>214</v>
      </c>
      <c r="E31" s="282">
        <v>1</v>
      </c>
      <c r="F31" s="214"/>
      <c r="G31" s="214"/>
      <c r="H31" s="214"/>
      <c r="I31" s="213"/>
      <c r="J31" s="213"/>
      <c r="K31" s="213"/>
      <c r="L31" s="213"/>
      <c r="M31" s="213"/>
      <c r="N31" s="213"/>
      <c r="O31" s="213"/>
      <c r="P31" s="213"/>
    </row>
    <row r="32" spans="1:16" s="7" customFormat="1" ht="12.75">
      <c r="A32" s="337" t="s">
        <v>663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9"/>
      <c r="L32" s="213"/>
      <c r="M32" s="213"/>
      <c r="N32" s="213"/>
      <c r="O32" s="213"/>
      <c r="P32" s="213"/>
    </row>
    <row r="33" spans="1:16" ht="12.75">
      <c r="A33" s="196"/>
      <c r="B33" s="333" t="s">
        <v>551</v>
      </c>
      <c r="C33" s="333"/>
      <c r="D33" s="333"/>
      <c r="E33" s="333"/>
      <c r="F33" s="333"/>
      <c r="G33" s="333"/>
      <c r="H33" s="333"/>
      <c r="I33" s="333"/>
      <c r="J33" s="333"/>
      <c r="K33" s="333"/>
      <c r="L33" s="215"/>
      <c r="M33" s="215"/>
      <c r="N33" s="215"/>
      <c r="O33" s="215"/>
      <c r="P33" s="215"/>
    </row>
    <row r="34" spans="1:16" ht="12.75">
      <c r="A34" s="197"/>
      <c r="B34" s="7"/>
      <c r="C34" s="7"/>
      <c r="D34" s="209"/>
      <c r="E34" s="210"/>
      <c r="F34" s="186"/>
      <c r="G34" s="187"/>
      <c r="H34" s="187"/>
      <c r="I34" s="186"/>
      <c r="J34" s="188"/>
      <c r="K34" s="187"/>
      <c r="L34" s="187"/>
      <c r="M34" s="187"/>
      <c r="N34" s="187"/>
      <c r="O34" s="187"/>
      <c r="P34" s="187"/>
    </row>
    <row r="35" spans="1:10" ht="15.75" customHeight="1">
      <c r="A35" s="228" t="s">
        <v>6</v>
      </c>
      <c r="B35" s="216"/>
      <c r="C35" s="217"/>
      <c r="D35" s="218"/>
      <c r="E35" s="218"/>
      <c r="F35" s="219"/>
      <c r="G35" s="219"/>
      <c r="J35"/>
    </row>
    <row r="36" spans="1:10" ht="15.75" customHeight="1">
      <c r="A36" s="220"/>
      <c r="B36" s="216"/>
      <c r="C36" s="221" t="s">
        <v>548</v>
      </c>
      <c r="D36" s="222"/>
      <c r="E36" s="222"/>
      <c r="F36" s="223"/>
      <c r="G36" s="223"/>
      <c r="J36"/>
    </row>
    <row r="37" spans="1:13" ht="15">
      <c r="A37" s="224"/>
      <c r="B37" s="198"/>
      <c r="C37" s="225"/>
      <c r="D37" s="318" t="s">
        <v>668</v>
      </c>
      <c r="E37" s="318"/>
      <c r="F37" s="318"/>
      <c r="G37" s="318"/>
      <c r="H37" s="318"/>
      <c r="I37" s="318"/>
      <c r="J37" s="226"/>
      <c r="M37" s="198"/>
    </row>
    <row r="38" spans="1:13" ht="15">
      <c r="A38" s="224"/>
      <c r="B38" s="198"/>
      <c r="C38" s="225"/>
      <c r="D38" s="227"/>
      <c r="E38" s="227"/>
      <c r="F38" s="227"/>
      <c r="G38" s="227"/>
      <c r="H38" s="227"/>
      <c r="I38" s="227"/>
      <c r="J38" s="226"/>
      <c r="M38" s="198"/>
    </row>
    <row r="39" spans="1:10" ht="15.75" customHeight="1">
      <c r="A39" s="228" t="s">
        <v>572</v>
      </c>
      <c r="B39" s="216"/>
      <c r="C39" s="229"/>
      <c r="D39" s="230"/>
      <c r="E39" s="230"/>
      <c r="F39" s="231"/>
      <c r="G39" s="231"/>
      <c r="J39"/>
    </row>
    <row r="40" spans="1:10" ht="15.75" customHeight="1">
      <c r="A40" s="220"/>
      <c r="B40" s="216"/>
      <c r="C40" s="221" t="s">
        <v>548</v>
      </c>
      <c r="D40" s="222"/>
      <c r="E40" s="222"/>
      <c r="F40" s="223"/>
      <c r="G40" s="223"/>
      <c r="J40"/>
    </row>
    <row r="41" spans="1:10" ht="15.75">
      <c r="A41" s="220"/>
      <c r="B41" s="216"/>
      <c r="C41" s="232"/>
      <c r="D41" s="222"/>
      <c r="E41" s="222"/>
      <c r="F41" s="223"/>
      <c r="G41" s="223"/>
      <c r="J41"/>
    </row>
    <row r="42" spans="1:10" ht="15" customHeight="1">
      <c r="A42" s="233" t="s">
        <v>669</v>
      </c>
      <c r="B42" s="234"/>
      <c r="C42" s="235"/>
      <c r="D42" s="222"/>
      <c r="E42" s="222"/>
      <c r="F42" s="236"/>
      <c r="G42" s="236"/>
      <c r="J42"/>
    </row>
    <row r="43" spans="1:10" ht="12.75">
      <c r="A43"/>
      <c r="C43" s="237"/>
      <c r="D43" s="238"/>
      <c r="E43" s="239"/>
      <c r="J43"/>
    </row>
  </sheetData>
  <sheetProtection/>
  <mergeCells count="17">
    <mergeCell ref="A14:A15"/>
    <mergeCell ref="B14:B15"/>
    <mergeCell ref="C14:C15"/>
    <mergeCell ref="A5:H5"/>
    <mergeCell ref="A6:H6"/>
    <mergeCell ref="A7:H7"/>
    <mergeCell ref="D14:D15"/>
    <mergeCell ref="A9:H9"/>
    <mergeCell ref="E14:E15"/>
    <mergeCell ref="A2:P2"/>
    <mergeCell ref="A3:P3"/>
    <mergeCell ref="D37:I37"/>
    <mergeCell ref="A32:K32"/>
    <mergeCell ref="F14:K14"/>
    <mergeCell ref="L14:P14"/>
    <mergeCell ref="A8:K8"/>
    <mergeCell ref="B33:K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Footer>&amp;C2.tāme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PageLayoutView="0" workbookViewId="0" topLeftCell="A14">
      <selection activeCell="A16" sqref="A16"/>
    </sheetView>
  </sheetViews>
  <sheetFormatPr defaultColWidth="9.140625" defaultRowHeight="12.75"/>
  <cols>
    <col min="1" max="1" width="5.57421875" style="198" customWidth="1"/>
    <col min="2" max="2" width="22.140625" style="0" customWidth="1"/>
    <col min="3" max="3" width="19.57421875" style="0" customWidth="1"/>
    <col min="4" max="4" width="6.421875" style="181" customWidth="1"/>
    <col min="5" max="5" width="6.421875" style="201" customWidth="1"/>
    <col min="6" max="9" width="8.7109375" style="0" customWidth="1"/>
    <col min="10" max="10" width="8.7109375" style="53" customWidth="1"/>
    <col min="11" max="16" width="8.7109375" style="0" customWidth="1"/>
    <col min="17" max="17" width="10.28125" style="0" bestFit="1" customWidth="1"/>
  </cols>
  <sheetData>
    <row r="1" spans="1:16" ht="12.75" hidden="1">
      <c r="A1" s="195"/>
      <c r="B1" s="53"/>
      <c r="C1" s="53"/>
      <c r="D1" s="192"/>
      <c r="F1" s="53"/>
      <c r="G1" s="53">
        <v>5</v>
      </c>
      <c r="H1" s="53"/>
      <c r="I1" s="53"/>
      <c r="J1" s="189">
        <v>0.08</v>
      </c>
      <c r="K1" s="53"/>
      <c r="L1" s="53"/>
      <c r="M1" s="53"/>
      <c r="N1" s="53"/>
      <c r="O1" s="53"/>
      <c r="P1" s="53"/>
    </row>
    <row r="2" spans="1:16" s="52" customFormat="1" ht="16.5" thickBot="1">
      <c r="A2" s="330" t="s">
        <v>569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52" customFormat="1" ht="15.75" thickTop="1">
      <c r="A3" s="331" t="s">
        <v>782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1:16" s="52" customFormat="1" ht="12.75">
      <c r="A4" s="41"/>
      <c r="B4" s="41"/>
      <c r="C4" s="41"/>
      <c r="D4" s="193"/>
      <c r="E4" s="20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s="52" customFormat="1" ht="12" customHeight="1">
      <c r="A5" s="312" t="s">
        <v>796</v>
      </c>
      <c r="B5" s="312"/>
      <c r="C5" s="312"/>
      <c r="D5" s="312"/>
      <c r="E5" s="312"/>
      <c r="F5" s="312"/>
      <c r="G5" s="312"/>
      <c r="H5" s="312"/>
      <c r="I5" s="204"/>
      <c r="J5" s="204"/>
      <c r="K5" s="204"/>
      <c r="L5" s="204"/>
      <c r="M5" s="204"/>
      <c r="N5" s="17"/>
      <c r="O5" s="17"/>
    </row>
    <row r="6" spans="1:15" s="52" customFormat="1" ht="12.75">
      <c r="A6" s="312" t="s">
        <v>797</v>
      </c>
      <c r="B6" s="312"/>
      <c r="C6" s="312"/>
      <c r="D6" s="312"/>
      <c r="E6" s="312"/>
      <c r="F6" s="312"/>
      <c r="G6" s="312"/>
      <c r="H6" s="312"/>
      <c r="I6" s="204"/>
      <c r="J6" s="204"/>
      <c r="K6" s="204"/>
      <c r="L6" s="204"/>
      <c r="M6" s="204"/>
      <c r="N6" s="17"/>
      <c r="O6" s="17"/>
    </row>
    <row r="7" spans="1:13" s="247" customFormat="1" ht="14.25" customHeight="1">
      <c r="A7" s="314" t="s">
        <v>795</v>
      </c>
      <c r="B7" s="314"/>
      <c r="C7" s="314"/>
      <c r="D7" s="314"/>
      <c r="E7" s="314"/>
      <c r="F7" s="314"/>
      <c r="G7" s="314"/>
      <c r="H7" s="314"/>
      <c r="I7" s="17"/>
      <c r="J7" s="17"/>
      <c r="K7" s="17"/>
      <c r="L7" s="17"/>
      <c r="M7" s="246"/>
    </row>
    <row r="8" spans="1:13" s="247" customFormat="1" ht="12.75" customHeight="1">
      <c r="A8" s="312" t="s">
        <v>794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246"/>
      <c r="M8" s="245"/>
    </row>
    <row r="9" spans="1:13" s="247" customFormat="1" ht="12.75" customHeight="1">
      <c r="A9" s="313" t="s">
        <v>571</v>
      </c>
      <c r="B9" s="313"/>
      <c r="C9" s="313"/>
      <c r="D9" s="313"/>
      <c r="E9" s="313"/>
      <c r="F9" s="313"/>
      <c r="G9" s="313"/>
      <c r="H9" s="313"/>
      <c r="I9" s="246"/>
      <c r="J9" s="246"/>
      <c r="K9" s="246"/>
      <c r="L9" s="246"/>
      <c r="M9" s="245"/>
    </row>
    <row r="10" spans="1:14" s="247" customFormat="1" ht="13.5" customHeight="1">
      <c r="A10" s="248"/>
      <c r="B10" s="248"/>
      <c r="C10" s="248"/>
      <c r="D10" s="249"/>
      <c r="E10" s="249"/>
      <c r="F10" s="249"/>
      <c r="G10" s="249"/>
      <c r="H10" s="249"/>
      <c r="I10" s="249"/>
      <c r="J10" s="246"/>
      <c r="K10" s="246"/>
      <c r="L10" s="246"/>
      <c r="M10" s="246"/>
      <c r="N10" s="245"/>
    </row>
    <row r="11" spans="1:17" s="52" customFormat="1" ht="12.75">
      <c r="A11" s="52" t="s">
        <v>670</v>
      </c>
      <c r="D11" s="17"/>
      <c r="E11" s="17"/>
      <c r="J11" s="17"/>
      <c r="K11" s="17"/>
      <c r="L11" s="17"/>
      <c r="M11" s="17"/>
      <c r="N11" s="17"/>
      <c r="O11" s="17"/>
      <c r="P11" s="17"/>
      <c r="Q11" s="17"/>
    </row>
    <row r="12" spans="4:17" s="52" customFormat="1" ht="12.75">
      <c r="D12" s="17"/>
      <c r="E12" s="17"/>
      <c r="J12" s="17"/>
      <c r="K12" s="17"/>
      <c r="L12" s="17"/>
      <c r="M12" s="17"/>
      <c r="N12" s="211" t="s">
        <v>672</v>
      </c>
      <c r="O12" s="243"/>
      <c r="P12" s="244" t="s">
        <v>671</v>
      </c>
      <c r="Q12" s="17"/>
    </row>
    <row r="13" spans="4:17" s="52" customFormat="1" ht="12.75">
      <c r="D13" s="17"/>
      <c r="E13" s="17"/>
      <c r="F13" s="17"/>
      <c r="G13" s="211"/>
      <c r="H13" s="243"/>
      <c r="I13" s="244"/>
      <c r="J13" s="17"/>
      <c r="K13" s="17"/>
      <c r="L13" s="17"/>
      <c r="M13" s="17"/>
      <c r="N13" s="17"/>
      <c r="O13" s="17"/>
      <c r="P13" s="17"/>
      <c r="Q13" s="17"/>
    </row>
    <row r="14" spans="1:16" s="131" customFormat="1" ht="12.75" customHeight="1">
      <c r="A14" s="335" t="s">
        <v>573</v>
      </c>
      <c r="B14" s="334" t="s">
        <v>674</v>
      </c>
      <c r="C14" s="340" t="s">
        <v>654</v>
      </c>
      <c r="D14" s="336" t="s">
        <v>546</v>
      </c>
      <c r="E14" s="336" t="s">
        <v>547</v>
      </c>
      <c r="F14" s="334" t="s">
        <v>559</v>
      </c>
      <c r="G14" s="334"/>
      <c r="H14" s="334"/>
      <c r="I14" s="334"/>
      <c r="J14" s="334"/>
      <c r="K14" s="334"/>
      <c r="L14" s="334" t="s">
        <v>560</v>
      </c>
      <c r="M14" s="334" t="s">
        <v>25</v>
      </c>
      <c r="N14" s="334"/>
      <c r="O14" s="334"/>
      <c r="P14" s="334"/>
    </row>
    <row r="15" spans="1:16" s="7" customFormat="1" ht="79.5">
      <c r="A15" s="335"/>
      <c r="B15" s="334"/>
      <c r="C15" s="341"/>
      <c r="D15" s="336"/>
      <c r="E15" s="336"/>
      <c r="F15" s="199" t="s">
        <v>583</v>
      </c>
      <c r="G15" s="199" t="s">
        <v>553</v>
      </c>
      <c r="H15" s="199" t="s">
        <v>673</v>
      </c>
      <c r="I15" s="200" t="s">
        <v>577</v>
      </c>
      <c r="J15" s="199" t="s">
        <v>578</v>
      </c>
      <c r="K15" s="199" t="s">
        <v>584</v>
      </c>
      <c r="L15" s="199" t="s">
        <v>30</v>
      </c>
      <c r="M15" s="199" t="s">
        <v>579</v>
      </c>
      <c r="N15" s="200" t="s">
        <v>580</v>
      </c>
      <c r="O15" s="199" t="s">
        <v>581</v>
      </c>
      <c r="P15" s="205" t="s">
        <v>582</v>
      </c>
    </row>
    <row r="16" spans="1:16" s="7" customFormat="1" ht="25.5">
      <c r="A16" s="190" t="s">
        <v>570</v>
      </c>
      <c r="B16" s="298" t="s">
        <v>738</v>
      </c>
      <c r="C16" s="297" t="s">
        <v>739</v>
      </c>
      <c r="D16" s="281" t="s">
        <v>148</v>
      </c>
      <c r="E16" s="282">
        <v>1</v>
      </c>
      <c r="F16" s="214"/>
      <c r="G16" s="214"/>
      <c r="H16" s="214"/>
      <c r="I16" s="213"/>
      <c r="J16" s="213"/>
      <c r="K16" s="213"/>
      <c r="L16" s="213"/>
      <c r="M16" s="213"/>
      <c r="N16" s="213"/>
      <c r="O16" s="213"/>
      <c r="P16" s="213"/>
    </row>
    <row r="17" spans="1:16" s="7" customFormat="1" ht="12.75">
      <c r="A17" s="190" t="s">
        <v>586</v>
      </c>
      <c r="B17" s="298" t="s">
        <v>740</v>
      </c>
      <c r="C17" s="299" t="s">
        <v>741</v>
      </c>
      <c r="D17" s="281" t="s">
        <v>148</v>
      </c>
      <c r="E17" s="282">
        <v>1</v>
      </c>
      <c r="F17" s="214"/>
      <c r="G17" s="214"/>
      <c r="H17" s="214"/>
      <c r="I17" s="213"/>
      <c r="J17" s="213"/>
      <c r="K17" s="213"/>
      <c r="L17" s="213"/>
      <c r="M17" s="213"/>
      <c r="N17" s="213"/>
      <c r="O17" s="213"/>
      <c r="P17" s="213"/>
    </row>
    <row r="18" spans="1:16" s="7" customFormat="1" ht="12.75">
      <c r="A18" s="190" t="s">
        <v>587</v>
      </c>
      <c r="B18" s="298" t="s">
        <v>649</v>
      </c>
      <c r="C18" s="299" t="s">
        <v>742</v>
      </c>
      <c r="D18" s="281" t="s">
        <v>148</v>
      </c>
      <c r="E18" s="282">
        <v>1</v>
      </c>
      <c r="F18" s="214"/>
      <c r="G18" s="214"/>
      <c r="H18" s="214"/>
      <c r="I18" s="213"/>
      <c r="J18" s="213"/>
      <c r="K18" s="213"/>
      <c r="L18" s="213"/>
      <c r="M18" s="213"/>
      <c r="N18" s="213"/>
      <c r="O18" s="213"/>
      <c r="P18" s="213"/>
    </row>
    <row r="19" spans="1:16" s="7" customFormat="1" ht="12.75">
      <c r="A19" s="190" t="s">
        <v>588</v>
      </c>
      <c r="B19" s="298" t="s">
        <v>649</v>
      </c>
      <c r="C19" s="299" t="s">
        <v>655</v>
      </c>
      <c r="D19" s="281" t="s">
        <v>148</v>
      </c>
      <c r="E19" s="282">
        <v>3</v>
      </c>
      <c r="F19" s="214"/>
      <c r="G19" s="214"/>
      <c r="H19" s="214"/>
      <c r="I19" s="213"/>
      <c r="J19" s="213"/>
      <c r="K19" s="213"/>
      <c r="L19" s="213"/>
      <c r="M19" s="213"/>
      <c r="N19" s="213"/>
      <c r="O19" s="213"/>
      <c r="P19" s="213"/>
    </row>
    <row r="20" spans="1:16" s="7" customFormat="1" ht="12.75">
      <c r="A20" s="190" t="s">
        <v>589</v>
      </c>
      <c r="B20" s="298" t="s">
        <v>649</v>
      </c>
      <c r="C20" s="299" t="s">
        <v>656</v>
      </c>
      <c r="D20" s="281" t="s">
        <v>148</v>
      </c>
      <c r="E20" s="282">
        <v>3</v>
      </c>
      <c r="F20" s="214"/>
      <c r="G20" s="214"/>
      <c r="H20" s="214"/>
      <c r="I20" s="213"/>
      <c r="J20" s="213"/>
      <c r="K20" s="213"/>
      <c r="L20" s="213"/>
      <c r="M20" s="213"/>
      <c r="N20" s="213"/>
      <c r="O20" s="213"/>
      <c r="P20" s="213"/>
    </row>
    <row r="21" spans="1:16" s="7" customFormat="1" ht="12.75">
      <c r="A21" s="190" t="s">
        <v>590</v>
      </c>
      <c r="B21" s="298" t="s">
        <v>649</v>
      </c>
      <c r="C21" s="299" t="s">
        <v>743</v>
      </c>
      <c r="D21" s="281" t="s">
        <v>148</v>
      </c>
      <c r="E21" s="282">
        <v>1</v>
      </c>
      <c r="F21" s="214"/>
      <c r="G21" s="214"/>
      <c r="H21" s="214"/>
      <c r="I21" s="213"/>
      <c r="J21" s="213"/>
      <c r="K21" s="213"/>
      <c r="L21" s="213"/>
      <c r="M21" s="213"/>
      <c r="N21" s="213"/>
      <c r="O21" s="213"/>
      <c r="P21" s="213"/>
    </row>
    <row r="22" spans="1:16" s="7" customFormat="1" ht="25.5">
      <c r="A22" s="190" t="s">
        <v>591</v>
      </c>
      <c r="B22" s="298" t="s">
        <v>744</v>
      </c>
      <c r="C22" s="299" t="s">
        <v>745</v>
      </c>
      <c r="D22" s="281" t="s">
        <v>148</v>
      </c>
      <c r="E22" s="282">
        <v>3</v>
      </c>
      <c r="F22" s="214"/>
      <c r="G22" s="214"/>
      <c r="H22" s="214"/>
      <c r="I22" s="213"/>
      <c r="J22" s="213"/>
      <c r="K22" s="213"/>
      <c r="L22" s="213"/>
      <c r="M22" s="213"/>
      <c r="N22" s="213"/>
      <c r="O22" s="213"/>
      <c r="P22" s="213"/>
    </row>
    <row r="23" spans="1:16" s="7" customFormat="1" ht="25.5">
      <c r="A23" s="190" t="s">
        <v>592</v>
      </c>
      <c r="B23" s="298" t="s">
        <v>746</v>
      </c>
      <c r="C23" s="299" t="s">
        <v>747</v>
      </c>
      <c r="D23" s="283" t="s">
        <v>148</v>
      </c>
      <c r="E23" s="282">
        <v>20</v>
      </c>
      <c r="F23" s="214"/>
      <c r="G23" s="214"/>
      <c r="H23" s="214"/>
      <c r="I23" s="213"/>
      <c r="J23" s="213"/>
      <c r="K23" s="213"/>
      <c r="L23" s="213"/>
      <c r="M23" s="213"/>
      <c r="N23" s="213"/>
      <c r="O23" s="213"/>
      <c r="P23" s="213"/>
    </row>
    <row r="24" spans="1:16" s="7" customFormat="1" ht="25.5">
      <c r="A24" s="190" t="s">
        <v>593</v>
      </c>
      <c r="B24" s="298" t="s">
        <v>748</v>
      </c>
      <c r="C24" s="299" t="s">
        <v>749</v>
      </c>
      <c r="D24" s="283" t="s">
        <v>148</v>
      </c>
      <c r="E24" s="282">
        <v>10</v>
      </c>
      <c r="F24" s="214"/>
      <c r="G24" s="214"/>
      <c r="H24" s="214"/>
      <c r="I24" s="213"/>
      <c r="J24" s="213"/>
      <c r="K24" s="213"/>
      <c r="L24" s="213"/>
      <c r="M24" s="213"/>
      <c r="N24" s="213"/>
      <c r="O24" s="213"/>
      <c r="P24" s="213"/>
    </row>
    <row r="25" spans="1:16" s="7" customFormat="1" ht="12.75">
      <c r="A25" s="190" t="s">
        <v>595</v>
      </c>
      <c r="B25" s="298" t="s">
        <v>650</v>
      </c>
      <c r="C25" s="299" t="s">
        <v>667</v>
      </c>
      <c r="D25" s="283" t="s">
        <v>148</v>
      </c>
      <c r="E25" s="282">
        <v>20</v>
      </c>
      <c r="F25" s="214"/>
      <c r="G25" s="214"/>
      <c r="H25" s="214"/>
      <c r="I25" s="213"/>
      <c r="J25" s="213"/>
      <c r="K25" s="213"/>
      <c r="L25" s="213"/>
      <c r="M25" s="213"/>
      <c r="N25" s="213"/>
      <c r="O25" s="213"/>
      <c r="P25" s="213"/>
    </row>
    <row r="26" spans="1:16" s="7" customFormat="1" ht="25.5">
      <c r="A26" s="190" t="s">
        <v>596</v>
      </c>
      <c r="B26" s="298" t="s">
        <v>750</v>
      </c>
      <c r="C26" s="299" t="s">
        <v>657</v>
      </c>
      <c r="D26" s="283" t="s">
        <v>148</v>
      </c>
      <c r="E26" s="282">
        <v>1</v>
      </c>
      <c r="F26" s="214"/>
      <c r="G26" s="214"/>
      <c r="H26" s="214"/>
      <c r="I26" s="213"/>
      <c r="J26" s="213"/>
      <c r="K26" s="213"/>
      <c r="L26" s="213"/>
      <c r="M26" s="213"/>
      <c r="N26" s="213"/>
      <c r="O26" s="213"/>
      <c r="P26" s="213"/>
    </row>
    <row r="27" spans="1:16" s="7" customFormat="1" ht="25.5">
      <c r="A27" s="190" t="s">
        <v>597</v>
      </c>
      <c r="B27" s="298" t="s">
        <v>751</v>
      </c>
      <c r="C27" s="299" t="s">
        <v>657</v>
      </c>
      <c r="D27" s="283" t="s">
        <v>148</v>
      </c>
      <c r="E27" s="282">
        <v>2</v>
      </c>
      <c r="F27" s="214"/>
      <c r="G27" s="214"/>
      <c r="H27" s="214"/>
      <c r="I27" s="213"/>
      <c r="J27" s="213"/>
      <c r="K27" s="213"/>
      <c r="L27" s="213"/>
      <c r="M27" s="213"/>
      <c r="N27" s="213"/>
      <c r="O27" s="213"/>
      <c r="P27" s="213"/>
    </row>
    <row r="28" spans="1:16" s="7" customFormat="1" ht="12.75">
      <c r="A28" s="190" t="s">
        <v>617</v>
      </c>
      <c r="B28" s="298" t="s">
        <v>651</v>
      </c>
      <c r="C28" s="299"/>
      <c r="D28" s="283" t="s">
        <v>148</v>
      </c>
      <c r="E28" s="282">
        <v>50</v>
      </c>
      <c r="F28" s="214"/>
      <c r="G28" s="214"/>
      <c r="H28" s="214"/>
      <c r="I28" s="213"/>
      <c r="J28" s="213"/>
      <c r="K28" s="213"/>
      <c r="L28" s="213"/>
      <c r="M28" s="213"/>
      <c r="N28" s="213"/>
      <c r="O28" s="213"/>
      <c r="P28" s="213"/>
    </row>
    <row r="29" spans="1:16" s="7" customFormat="1" ht="12.75">
      <c r="A29" s="190" t="s">
        <v>618</v>
      </c>
      <c r="B29" s="298" t="s">
        <v>752</v>
      </c>
      <c r="C29" s="299" t="s">
        <v>753</v>
      </c>
      <c r="D29" s="283" t="s">
        <v>148</v>
      </c>
      <c r="E29" s="282">
        <v>3</v>
      </c>
      <c r="F29" s="214"/>
      <c r="G29" s="214"/>
      <c r="H29" s="214"/>
      <c r="I29" s="213"/>
      <c r="J29" s="213"/>
      <c r="K29" s="213"/>
      <c r="L29" s="213"/>
      <c r="M29" s="213"/>
      <c r="N29" s="213"/>
      <c r="O29" s="213"/>
      <c r="P29" s="213"/>
    </row>
    <row r="30" spans="1:16" s="7" customFormat="1" ht="12.75">
      <c r="A30" s="190" t="s">
        <v>619</v>
      </c>
      <c r="B30" s="298" t="s">
        <v>752</v>
      </c>
      <c r="C30" s="299" t="s">
        <v>754</v>
      </c>
      <c r="D30" s="283" t="s">
        <v>148</v>
      </c>
      <c r="E30" s="282">
        <v>1</v>
      </c>
      <c r="F30" s="214"/>
      <c r="G30" s="214"/>
      <c r="H30" s="214"/>
      <c r="I30" s="213"/>
      <c r="J30" s="213"/>
      <c r="K30" s="213"/>
      <c r="L30" s="213"/>
      <c r="M30" s="213"/>
      <c r="N30" s="213"/>
      <c r="O30" s="213"/>
      <c r="P30" s="213"/>
    </row>
    <row r="31" spans="1:16" s="7" customFormat="1" ht="12.75">
      <c r="A31" s="190" t="s">
        <v>620</v>
      </c>
      <c r="B31" s="298" t="s">
        <v>752</v>
      </c>
      <c r="C31" s="299" t="s">
        <v>755</v>
      </c>
      <c r="D31" s="283" t="s">
        <v>148</v>
      </c>
      <c r="E31" s="282">
        <v>1</v>
      </c>
      <c r="F31" s="214"/>
      <c r="G31" s="214"/>
      <c r="H31" s="214"/>
      <c r="I31" s="213"/>
      <c r="J31" s="213"/>
      <c r="K31" s="213"/>
      <c r="L31" s="213"/>
      <c r="M31" s="213"/>
      <c r="N31" s="213"/>
      <c r="O31" s="213"/>
      <c r="P31" s="213"/>
    </row>
    <row r="32" spans="1:16" s="7" customFormat="1" ht="25.5">
      <c r="A32" s="190" t="s">
        <v>621</v>
      </c>
      <c r="B32" s="298" t="s">
        <v>756</v>
      </c>
      <c r="C32" s="299" t="s">
        <v>658</v>
      </c>
      <c r="D32" s="283" t="s">
        <v>148</v>
      </c>
      <c r="E32" s="282">
        <v>16</v>
      </c>
      <c r="F32" s="214"/>
      <c r="G32" s="214"/>
      <c r="H32" s="214"/>
      <c r="I32" s="213"/>
      <c r="J32" s="213"/>
      <c r="K32" s="213"/>
      <c r="L32" s="213"/>
      <c r="M32" s="213"/>
      <c r="N32" s="213"/>
      <c r="O32" s="213"/>
      <c r="P32" s="213"/>
    </row>
    <row r="33" spans="1:16" s="7" customFormat="1" ht="25.5">
      <c r="A33" s="190" t="s">
        <v>622</v>
      </c>
      <c r="B33" s="298" t="s">
        <v>756</v>
      </c>
      <c r="C33" s="299" t="s">
        <v>757</v>
      </c>
      <c r="D33" s="283" t="s">
        <v>148</v>
      </c>
      <c r="E33" s="282">
        <v>4</v>
      </c>
      <c r="F33" s="214"/>
      <c r="G33" s="214"/>
      <c r="H33" s="214"/>
      <c r="I33" s="213"/>
      <c r="J33" s="213"/>
      <c r="K33" s="213"/>
      <c r="L33" s="213"/>
      <c r="M33" s="213"/>
      <c r="N33" s="213"/>
      <c r="O33" s="213"/>
      <c r="P33" s="213"/>
    </row>
    <row r="34" spans="1:16" s="7" customFormat="1" ht="38.25">
      <c r="A34" s="190" t="s">
        <v>623</v>
      </c>
      <c r="B34" s="298" t="s">
        <v>652</v>
      </c>
      <c r="C34" s="299" t="s">
        <v>659</v>
      </c>
      <c r="D34" s="283" t="s">
        <v>148</v>
      </c>
      <c r="E34" s="282">
        <v>2</v>
      </c>
      <c r="F34" s="214"/>
      <c r="G34" s="214"/>
      <c r="H34" s="214"/>
      <c r="I34" s="213"/>
      <c r="J34" s="213"/>
      <c r="K34" s="213"/>
      <c r="L34" s="213"/>
      <c r="M34" s="213"/>
      <c r="N34" s="213"/>
      <c r="O34" s="213"/>
      <c r="P34" s="213"/>
    </row>
    <row r="35" spans="1:16" s="7" customFormat="1" ht="25.5">
      <c r="A35" s="190" t="s">
        <v>624</v>
      </c>
      <c r="B35" s="298" t="s">
        <v>758</v>
      </c>
      <c r="C35" s="299" t="s">
        <v>759</v>
      </c>
      <c r="D35" s="283" t="s">
        <v>148</v>
      </c>
      <c r="E35" s="282">
        <v>1</v>
      </c>
      <c r="F35" s="214"/>
      <c r="G35" s="214"/>
      <c r="H35" s="214"/>
      <c r="I35" s="213"/>
      <c r="J35" s="213"/>
      <c r="K35" s="213"/>
      <c r="L35" s="213"/>
      <c r="M35" s="213"/>
      <c r="N35" s="213"/>
      <c r="O35" s="213"/>
      <c r="P35" s="213"/>
    </row>
    <row r="36" spans="1:16" s="7" customFormat="1" ht="12.75">
      <c r="A36" s="190" t="s">
        <v>625</v>
      </c>
      <c r="B36" s="298" t="s">
        <v>661</v>
      </c>
      <c r="C36" s="299" t="s">
        <v>760</v>
      </c>
      <c r="D36" s="283" t="s">
        <v>704</v>
      </c>
      <c r="E36" s="282">
        <v>100</v>
      </c>
      <c r="F36" s="214"/>
      <c r="G36" s="214"/>
      <c r="H36" s="214"/>
      <c r="I36" s="213"/>
      <c r="J36" s="213"/>
      <c r="K36" s="213"/>
      <c r="L36" s="213"/>
      <c r="M36" s="213"/>
      <c r="N36" s="213"/>
      <c r="O36" s="213"/>
      <c r="P36" s="213"/>
    </row>
    <row r="37" spans="1:16" s="7" customFormat="1" ht="12.75">
      <c r="A37" s="190" t="s">
        <v>626</v>
      </c>
      <c r="B37" s="298" t="s">
        <v>661</v>
      </c>
      <c r="C37" s="299" t="s">
        <v>761</v>
      </c>
      <c r="D37" s="283" t="s">
        <v>704</v>
      </c>
      <c r="E37" s="282">
        <v>300</v>
      </c>
      <c r="F37" s="214"/>
      <c r="G37" s="214"/>
      <c r="H37" s="214"/>
      <c r="I37" s="213"/>
      <c r="J37" s="213"/>
      <c r="K37" s="213"/>
      <c r="L37" s="213"/>
      <c r="M37" s="213"/>
      <c r="N37" s="213"/>
      <c r="O37" s="213"/>
      <c r="P37" s="213"/>
    </row>
    <row r="38" spans="1:16" s="7" customFormat="1" ht="12.75">
      <c r="A38" s="190" t="s">
        <v>627</v>
      </c>
      <c r="B38" s="298" t="s">
        <v>653</v>
      </c>
      <c r="C38" s="297" t="s">
        <v>762</v>
      </c>
      <c r="D38" s="283" t="s">
        <v>704</v>
      </c>
      <c r="E38" s="282">
        <v>50</v>
      </c>
      <c r="F38" s="214"/>
      <c r="G38" s="214"/>
      <c r="H38" s="214"/>
      <c r="I38" s="213"/>
      <c r="J38" s="213"/>
      <c r="K38" s="213"/>
      <c r="L38" s="213"/>
      <c r="M38" s="213"/>
      <c r="N38" s="213"/>
      <c r="O38" s="213"/>
      <c r="P38" s="213"/>
    </row>
    <row r="39" spans="1:16" s="7" customFormat="1" ht="12.75">
      <c r="A39" s="190" t="s">
        <v>628</v>
      </c>
      <c r="B39" s="298" t="s">
        <v>653</v>
      </c>
      <c r="C39" s="297" t="s">
        <v>660</v>
      </c>
      <c r="D39" s="283" t="s">
        <v>36</v>
      </c>
      <c r="E39" s="282">
        <v>100</v>
      </c>
      <c r="F39" s="214"/>
      <c r="G39" s="214"/>
      <c r="H39" s="214"/>
      <c r="I39" s="213"/>
      <c r="J39" s="213"/>
      <c r="K39" s="213"/>
      <c r="L39" s="213"/>
      <c r="M39" s="213"/>
      <c r="N39" s="213"/>
      <c r="O39" s="213"/>
      <c r="P39" s="213"/>
    </row>
    <row r="40" spans="1:16" s="7" customFormat="1" ht="12.75">
      <c r="A40" s="190" t="s">
        <v>629</v>
      </c>
      <c r="B40" s="298" t="s">
        <v>653</v>
      </c>
      <c r="C40" s="297" t="s">
        <v>763</v>
      </c>
      <c r="D40" s="283" t="s">
        <v>36</v>
      </c>
      <c r="E40" s="282">
        <v>50</v>
      </c>
      <c r="F40" s="214"/>
      <c r="G40" s="214"/>
      <c r="H40" s="214"/>
      <c r="I40" s="213"/>
      <c r="J40" s="213"/>
      <c r="K40" s="213"/>
      <c r="L40" s="213"/>
      <c r="M40" s="213"/>
      <c r="N40" s="213"/>
      <c r="O40" s="213"/>
      <c r="P40" s="213"/>
    </row>
    <row r="41" spans="1:16" s="7" customFormat="1" ht="12.75">
      <c r="A41" s="190" t="s">
        <v>630</v>
      </c>
      <c r="B41" s="300" t="s">
        <v>764</v>
      </c>
      <c r="C41" s="299"/>
      <c r="D41" s="283"/>
      <c r="E41" s="282"/>
      <c r="F41" s="214"/>
      <c r="G41" s="214"/>
      <c r="H41" s="214"/>
      <c r="I41" s="213"/>
      <c r="J41" s="213"/>
      <c r="K41" s="213"/>
      <c r="L41" s="213"/>
      <c r="M41" s="213"/>
      <c r="N41" s="213"/>
      <c r="O41" s="213"/>
      <c r="P41" s="213"/>
    </row>
    <row r="42" spans="1:16" s="7" customFormat="1" ht="12.75">
      <c r="A42" s="190" t="s">
        <v>631</v>
      </c>
      <c r="B42" s="298" t="s">
        <v>765</v>
      </c>
      <c r="C42" s="299" t="s">
        <v>776</v>
      </c>
      <c r="D42" s="283" t="s">
        <v>148</v>
      </c>
      <c r="E42" s="282">
        <v>4</v>
      </c>
      <c r="F42" s="214"/>
      <c r="G42" s="214"/>
      <c r="H42" s="214"/>
      <c r="I42" s="213"/>
      <c r="J42" s="213"/>
      <c r="K42" s="213"/>
      <c r="L42" s="213"/>
      <c r="M42" s="213"/>
      <c r="N42" s="213"/>
      <c r="O42" s="213"/>
      <c r="P42" s="213"/>
    </row>
    <row r="43" spans="1:16" s="7" customFormat="1" ht="12.75">
      <c r="A43" s="190" t="s">
        <v>632</v>
      </c>
      <c r="B43" s="298" t="s">
        <v>766</v>
      </c>
      <c r="C43" s="299" t="s">
        <v>767</v>
      </c>
      <c r="D43" s="283" t="s">
        <v>704</v>
      </c>
      <c r="E43" s="282">
        <v>20</v>
      </c>
      <c r="F43" s="214"/>
      <c r="G43" s="214"/>
      <c r="H43" s="214"/>
      <c r="I43" s="213"/>
      <c r="J43" s="213"/>
      <c r="K43" s="213"/>
      <c r="L43" s="213"/>
      <c r="M43" s="213"/>
      <c r="N43" s="213"/>
      <c r="O43" s="213"/>
      <c r="P43" s="213"/>
    </row>
    <row r="44" spans="1:16" s="7" customFormat="1" ht="12.75">
      <c r="A44" s="190" t="s">
        <v>633</v>
      </c>
      <c r="B44" s="298" t="s">
        <v>768</v>
      </c>
      <c r="C44" s="299" t="s">
        <v>769</v>
      </c>
      <c r="D44" s="283" t="s">
        <v>148</v>
      </c>
      <c r="E44" s="282">
        <v>1</v>
      </c>
      <c r="F44" s="214"/>
      <c r="G44" s="214"/>
      <c r="H44" s="214"/>
      <c r="I44" s="213"/>
      <c r="J44" s="213"/>
      <c r="K44" s="213"/>
      <c r="L44" s="213"/>
      <c r="M44" s="213"/>
      <c r="N44" s="213"/>
      <c r="O44" s="213"/>
      <c r="P44" s="213"/>
    </row>
    <row r="45" spans="1:16" s="7" customFormat="1" ht="12.75">
      <c r="A45" s="190" t="s">
        <v>634</v>
      </c>
      <c r="B45" s="298" t="s">
        <v>770</v>
      </c>
      <c r="C45" s="299" t="s">
        <v>771</v>
      </c>
      <c r="D45" s="283" t="s">
        <v>148</v>
      </c>
      <c r="E45" s="282">
        <v>1</v>
      </c>
      <c r="F45" s="214"/>
      <c r="G45" s="214"/>
      <c r="H45" s="214"/>
      <c r="I45" s="213"/>
      <c r="J45" s="213"/>
      <c r="K45" s="213"/>
      <c r="L45" s="213"/>
      <c r="M45" s="213"/>
      <c r="N45" s="213"/>
      <c r="O45" s="213"/>
      <c r="P45" s="213"/>
    </row>
    <row r="46" spans="1:16" s="7" customFormat="1" ht="12.75">
      <c r="A46" s="190" t="s">
        <v>635</v>
      </c>
      <c r="B46" s="298" t="s">
        <v>768</v>
      </c>
      <c r="C46" s="299" t="s">
        <v>772</v>
      </c>
      <c r="D46" s="283" t="s">
        <v>148</v>
      </c>
      <c r="E46" s="282">
        <v>1</v>
      </c>
      <c r="F46" s="214"/>
      <c r="G46" s="214"/>
      <c r="H46" s="214"/>
      <c r="I46" s="213"/>
      <c r="J46" s="213"/>
      <c r="K46" s="213"/>
      <c r="L46" s="213"/>
      <c r="M46" s="213"/>
      <c r="N46" s="213"/>
      <c r="O46" s="213"/>
      <c r="P46" s="213"/>
    </row>
    <row r="47" spans="1:16" s="7" customFormat="1" ht="38.25">
      <c r="A47" s="190" t="s">
        <v>636</v>
      </c>
      <c r="B47" s="301" t="s">
        <v>773</v>
      </c>
      <c r="C47" s="299" t="s">
        <v>774</v>
      </c>
      <c r="D47" s="283" t="s">
        <v>36</v>
      </c>
      <c r="E47" s="282">
        <v>10</v>
      </c>
      <c r="F47" s="214"/>
      <c r="G47" s="214"/>
      <c r="H47" s="214"/>
      <c r="I47" s="213"/>
      <c r="J47" s="213"/>
      <c r="K47" s="213"/>
      <c r="L47" s="213"/>
      <c r="M47" s="213"/>
      <c r="N47" s="213"/>
      <c r="O47" s="213"/>
      <c r="P47" s="213"/>
    </row>
    <row r="48" spans="1:16" s="7" customFormat="1" ht="38.25">
      <c r="A48" s="190" t="s">
        <v>637</v>
      </c>
      <c r="B48" s="298" t="s">
        <v>775</v>
      </c>
      <c r="C48" s="299"/>
      <c r="D48" s="283" t="s">
        <v>33</v>
      </c>
      <c r="E48" s="282">
        <v>1</v>
      </c>
      <c r="F48" s="214"/>
      <c r="G48" s="214"/>
      <c r="H48" s="214"/>
      <c r="I48" s="213"/>
      <c r="J48" s="213"/>
      <c r="K48" s="213"/>
      <c r="L48" s="213"/>
      <c r="M48" s="213"/>
      <c r="N48" s="213"/>
      <c r="O48" s="213"/>
      <c r="P48" s="213"/>
    </row>
    <row r="49" spans="1:16" s="7" customFormat="1" ht="12.75">
      <c r="A49" s="190" t="s">
        <v>638</v>
      </c>
      <c r="B49" s="300" t="s">
        <v>777</v>
      </c>
      <c r="C49" s="299"/>
      <c r="D49" s="283"/>
      <c r="E49" s="282"/>
      <c r="F49" s="214"/>
      <c r="G49" s="214"/>
      <c r="H49" s="214"/>
      <c r="I49" s="213"/>
      <c r="J49" s="213"/>
      <c r="K49" s="213"/>
      <c r="L49" s="213"/>
      <c r="M49" s="213"/>
      <c r="N49" s="213"/>
      <c r="O49" s="213"/>
      <c r="P49" s="213"/>
    </row>
    <row r="50" spans="1:16" s="7" customFormat="1" ht="12.75">
      <c r="A50" s="190" t="s">
        <v>639</v>
      </c>
      <c r="B50" s="298" t="s">
        <v>778</v>
      </c>
      <c r="C50" s="299" t="s">
        <v>779</v>
      </c>
      <c r="D50" s="283" t="s">
        <v>148</v>
      </c>
      <c r="E50" s="282">
        <v>1</v>
      </c>
      <c r="F50" s="214"/>
      <c r="G50" s="214"/>
      <c r="H50" s="214"/>
      <c r="I50" s="213"/>
      <c r="J50" s="213"/>
      <c r="K50" s="213"/>
      <c r="L50" s="213"/>
      <c r="M50" s="213"/>
      <c r="N50" s="213"/>
      <c r="O50" s="213"/>
      <c r="P50" s="213"/>
    </row>
    <row r="51" spans="1:16" s="7" customFormat="1" ht="12.75">
      <c r="A51" s="190" t="s">
        <v>640</v>
      </c>
      <c r="B51" s="298" t="s">
        <v>780</v>
      </c>
      <c r="C51" s="299"/>
      <c r="D51" s="283" t="s">
        <v>148</v>
      </c>
      <c r="E51" s="282">
        <v>1</v>
      </c>
      <c r="F51" s="214"/>
      <c r="G51" s="214"/>
      <c r="H51" s="214"/>
      <c r="I51" s="213"/>
      <c r="J51" s="213"/>
      <c r="K51" s="213"/>
      <c r="L51" s="213"/>
      <c r="M51" s="213"/>
      <c r="N51" s="213"/>
      <c r="O51" s="213"/>
      <c r="P51" s="213"/>
    </row>
    <row r="52" spans="1:16" s="7" customFormat="1" ht="12.75">
      <c r="A52" s="190" t="s">
        <v>641</v>
      </c>
      <c r="B52" s="302" t="s">
        <v>649</v>
      </c>
      <c r="C52" s="280" t="s">
        <v>742</v>
      </c>
      <c r="D52" s="281" t="s">
        <v>148</v>
      </c>
      <c r="E52" s="284">
        <v>1</v>
      </c>
      <c r="F52" s="214"/>
      <c r="G52" s="214"/>
      <c r="H52" s="214"/>
      <c r="I52" s="213"/>
      <c r="J52" s="213"/>
      <c r="K52" s="213"/>
      <c r="L52" s="213"/>
      <c r="M52" s="213"/>
      <c r="N52" s="213"/>
      <c r="O52" s="213"/>
      <c r="P52" s="213"/>
    </row>
    <row r="53" spans="1:16" s="7" customFormat="1" ht="12.75">
      <c r="A53" s="190" t="s">
        <v>642</v>
      </c>
      <c r="B53" s="298" t="s">
        <v>661</v>
      </c>
      <c r="C53" s="299" t="s">
        <v>781</v>
      </c>
      <c r="D53" s="283" t="s">
        <v>36</v>
      </c>
      <c r="E53" s="282">
        <v>30</v>
      </c>
      <c r="F53" s="214"/>
      <c r="G53" s="214"/>
      <c r="H53" s="214"/>
      <c r="I53" s="213"/>
      <c r="J53" s="213"/>
      <c r="K53" s="213"/>
      <c r="L53" s="213"/>
      <c r="M53" s="213"/>
      <c r="N53" s="213"/>
      <c r="O53" s="213"/>
      <c r="P53" s="213"/>
    </row>
    <row r="54" spans="1:16" s="7" customFormat="1" ht="12.75">
      <c r="A54" s="190" t="s">
        <v>643</v>
      </c>
      <c r="B54" s="303" t="s">
        <v>653</v>
      </c>
      <c r="C54" s="297" t="s">
        <v>763</v>
      </c>
      <c r="D54" s="285" t="s">
        <v>36</v>
      </c>
      <c r="E54" s="286">
        <v>25</v>
      </c>
      <c r="F54" s="214"/>
      <c r="G54" s="214"/>
      <c r="H54" s="214"/>
      <c r="I54" s="213"/>
      <c r="J54" s="213"/>
      <c r="K54" s="213"/>
      <c r="L54" s="213"/>
      <c r="M54" s="213"/>
      <c r="N54" s="213"/>
      <c r="O54" s="213"/>
      <c r="P54" s="213"/>
    </row>
    <row r="55" spans="1:16" s="7" customFormat="1" ht="12.75">
      <c r="A55" s="342" t="s">
        <v>663</v>
      </c>
      <c r="B55" s="343"/>
      <c r="C55" s="343"/>
      <c r="D55" s="343"/>
      <c r="E55" s="343"/>
      <c r="F55" s="343"/>
      <c r="G55" s="343"/>
      <c r="H55" s="343"/>
      <c r="I55" s="343"/>
      <c r="J55" s="343"/>
      <c r="K55" s="344"/>
      <c r="L55" s="213"/>
      <c r="M55" s="213"/>
      <c r="N55" s="213"/>
      <c r="O55" s="213"/>
      <c r="P55" s="213"/>
    </row>
    <row r="56" spans="1:16" ht="12.75" customHeight="1">
      <c r="A56" s="345" t="s">
        <v>551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7"/>
      <c r="L56" s="215"/>
      <c r="M56" s="215"/>
      <c r="N56" s="215"/>
      <c r="O56" s="215"/>
      <c r="P56" s="215"/>
    </row>
    <row r="57" spans="1:16" ht="12.75">
      <c r="A57" s="197"/>
      <c r="B57" s="7"/>
      <c r="C57" s="7"/>
      <c r="D57" s="209"/>
      <c r="E57" s="210"/>
      <c r="F57" s="186"/>
      <c r="G57" s="187"/>
      <c r="H57" s="187"/>
      <c r="I57" s="186"/>
      <c r="J57" s="188"/>
      <c r="K57" s="187"/>
      <c r="L57" s="187"/>
      <c r="M57" s="187"/>
      <c r="N57" s="187"/>
      <c r="O57" s="187"/>
      <c r="P57" s="187"/>
    </row>
    <row r="58" spans="1:10" ht="15.75" customHeight="1">
      <c r="A58" s="228" t="s">
        <v>6</v>
      </c>
      <c r="B58" s="216"/>
      <c r="C58" s="216"/>
      <c r="D58" s="217"/>
      <c r="E58" s="218"/>
      <c r="F58" s="218"/>
      <c r="G58" s="219"/>
      <c r="H58" s="219"/>
      <c r="J58"/>
    </row>
    <row r="59" spans="1:10" ht="15.75" customHeight="1">
      <c r="A59" s="220"/>
      <c r="B59" s="216"/>
      <c r="C59" s="216"/>
      <c r="D59" s="221" t="s">
        <v>548</v>
      </c>
      <c r="E59" s="222"/>
      <c r="F59" s="222"/>
      <c r="G59" s="223"/>
      <c r="H59" s="223"/>
      <c r="J59"/>
    </row>
    <row r="60" spans="1:14" ht="15">
      <c r="A60" s="224"/>
      <c r="B60" s="198"/>
      <c r="C60" s="198"/>
      <c r="D60" s="225"/>
      <c r="E60" s="318" t="s">
        <v>668</v>
      </c>
      <c r="F60" s="318"/>
      <c r="G60" s="318"/>
      <c r="H60" s="318"/>
      <c r="I60" s="318"/>
      <c r="J60" s="318"/>
      <c r="K60" s="226"/>
      <c r="N60" s="198"/>
    </row>
    <row r="61" spans="1:14" ht="15">
      <c r="A61" s="224"/>
      <c r="B61" s="198"/>
      <c r="C61" s="198"/>
      <c r="D61" s="225"/>
      <c r="E61" s="227"/>
      <c r="F61" s="227"/>
      <c r="G61" s="227"/>
      <c r="H61" s="227"/>
      <c r="I61" s="227"/>
      <c r="J61" s="227"/>
      <c r="K61" s="226"/>
      <c r="N61" s="198"/>
    </row>
    <row r="62" spans="1:10" ht="15.75" customHeight="1">
      <c r="A62" s="228" t="s">
        <v>572</v>
      </c>
      <c r="B62" s="216"/>
      <c r="C62" s="216"/>
      <c r="D62" s="229"/>
      <c r="E62" s="230"/>
      <c r="F62" s="230"/>
      <c r="G62" s="231"/>
      <c r="H62" s="231"/>
      <c r="J62"/>
    </row>
    <row r="63" spans="1:10" ht="15.75" customHeight="1">
      <c r="A63" s="220"/>
      <c r="B63" s="216"/>
      <c r="C63" s="216"/>
      <c r="D63" s="221" t="s">
        <v>548</v>
      </c>
      <c r="E63" s="222"/>
      <c r="F63" s="222"/>
      <c r="G63" s="223"/>
      <c r="H63" s="223"/>
      <c r="J63"/>
    </row>
    <row r="64" spans="1:10" ht="15.75">
      <c r="A64" s="220"/>
      <c r="B64" s="216"/>
      <c r="C64" s="216"/>
      <c r="D64" s="232"/>
      <c r="E64" s="222"/>
      <c r="F64" s="222"/>
      <c r="G64" s="223"/>
      <c r="H64" s="223"/>
      <c r="J64"/>
    </row>
    <row r="65" spans="1:10" ht="15" customHeight="1">
      <c r="A65" s="233" t="s">
        <v>669</v>
      </c>
      <c r="B65" s="234"/>
      <c r="C65" s="234"/>
      <c r="D65" s="235"/>
      <c r="E65" s="222"/>
      <c r="F65" s="222"/>
      <c r="G65" s="236"/>
      <c r="H65" s="236"/>
      <c r="J65"/>
    </row>
    <row r="66" spans="1:10" ht="12.75">
      <c r="A66"/>
      <c r="D66" s="237"/>
      <c r="E66" s="238"/>
      <c r="F66" s="239"/>
      <c r="J66"/>
    </row>
  </sheetData>
  <sheetProtection/>
  <mergeCells count="17">
    <mergeCell ref="F14:K14"/>
    <mergeCell ref="E60:J60"/>
    <mergeCell ref="L14:P14"/>
    <mergeCell ref="A55:K55"/>
    <mergeCell ref="A56:K56"/>
    <mergeCell ref="A14:A15"/>
    <mergeCell ref="A5:H5"/>
    <mergeCell ref="B14:B15"/>
    <mergeCell ref="D14:D15"/>
    <mergeCell ref="E14:E15"/>
    <mergeCell ref="C14:C15"/>
    <mergeCell ref="A6:H6"/>
    <mergeCell ref="A7:H7"/>
    <mergeCell ref="A8:K8"/>
    <mergeCell ref="A9:H9"/>
    <mergeCell ref="A2:P2"/>
    <mergeCell ref="A3:P3"/>
  </mergeCells>
  <printOptions/>
  <pageMargins left="0.7874015748031497" right="0.7874015748031497" top="1.1811023622047245" bottom="1.1811023622047245" header="0.31496062992125984" footer="0.31496062992125984"/>
  <pageSetup fitToHeight="0" fitToWidth="1" horizontalDpi="600" verticalDpi="600" orientation="landscape" paperSize="9" scale="84" r:id="rId1"/>
  <headerFooter>
    <oddFooter>&amp;C3.tāme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2">
      <selection activeCell="F21" sqref="F21"/>
    </sheetView>
  </sheetViews>
  <sheetFormatPr defaultColWidth="9.140625" defaultRowHeight="12.75"/>
  <cols>
    <col min="1" max="1" width="4.57421875" style="198" customWidth="1"/>
    <col min="2" max="2" width="29.57421875" style="0" customWidth="1"/>
    <col min="3" max="3" width="5.8515625" style="181" customWidth="1"/>
    <col min="4" max="4" width="6.28125" style="201" customWidth="1"/>
    <col min="5" max="8" width="8.7109375" style="0" customWidth="1"/>
    <col min="9" max="9" width="8.7109375" style="53" customWidth="1"/>
    <col min="10" max="15" width="8.7109375" style="0" customWidth="1"/>
    <col min="16" max="16" width="10.28125" style="0" bestFit="1" customWidth="1"/>
  </cols>
  <sheetData>
    <row r="1" spans="1:15" ht="12.75" hidden="1">
      <c r="A1" s="195"/>
      <c r="B1" s="53"/>
      <c r="C1" s="192"/>
      <c r="E1" s="53"/>
      <c r="F1" s="53">
        <v>5</v>
      </c>
      <c r="G1" s="53"/>
      <c r="H1" s="53"/>
      <c r="I1" s="189">
        <v>0.08</v>
      </c>
      <c r="J1" s="53"/>
      <c r="K1" s="53"/>
      <c r="L1" s="53"/>
      <c r="M1" s="53"/>
      <c r="N1" s="53"/>
      <c r="O1" s="53"/>
    </row>
    <row r="2" spans="1:15" s="52" customFormat="1" ht="16.5" thickBot="1">
      <c r="A2" s="330" t="s">
        <v>666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s="52" customFormat="1" ht="15.75" thickTop="1">
      <c r="A3" s="331" t="s">
        <v>784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1:15" s="52" customFormat="1" ht="12.75">
      <c r="A4" s="41"/>
      <c r="B4" s="41"/>
      <c r="C4" s="193"/>
      <c r="D4" s="202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52" customFormat="1" ht="12" customHeight="1">
      <c r="A5" s="312" t="s">
        <v>796</v>
      </c>
      <c r="B5" s="312"/>
      <c r="C5" s="312"/>
      <c r="D5" s="312"/>
      <c r="E5" s="312"/>
      <c r="F5" s="312"/>
      <c r="G5" s="312"/>
      <c r="H5" s="312"/>
      <c r="I5" s="204"/>
      <c r="J5" s="204"/>
      <c r="K5" s="204"/>
      <c r="L5" s="204"/>
      <c r="M5" s="204"/>
      <c r="N5" s="17"/>
      <c r="O5" s="17"/>
    </row>
    <row r="6" spans="1:15" s="52" customFormat="1" ht="12.75">
      <c r="A6" s="312" t="s">
        <v>797</v>
      </c>
      <c r="B6" s="312"/>
      <c r="C6" s="312"/>
      <c r="D6" s="312"/>
      <c r="E6" s="312"/>
      <c r="F6" s="312"/>
      <c r="G6" s="312"/>
      <c r="H6" s="312"/>
      <c r="I6" s="204"/>
      <c r="J6" s="204"/>
      <c r="K6" s="204"/>
      <c r="L6" s="204"/>
      <c r="M6" s="204"/>
      <c r="N6" s="17"/>
      <c r="O6" s="17"/>
    </row>
    <row r="7" spans="1:13" s="247" customFormat="1" ht="14.25" customHeight="1">
      <c r="A7" s="314" t="s">
        <v>795</v>
      </c>
      <c r="B7" s="314"/>
      <c r="C7" s="314"/>
      <c r="D7" s="314"/>
      <c r="E7" s="314"/>
      <c r="F7" s="314"/>
      <c r="G7" s="314"/>
      <c r="H7" s="314"/>
      <c r="I7" s="17"/>
      <c r="J7" s="17"/>
      <c r="K7" s="17"/>
      <c r="L7" s="17"/>
      <c r="M7" s="246"/>
    </row>
    <row r="8" spans="1:13" s="247" customFormat="1" ht="12.75" customHeight="1">
      <c r="A8" s="312" t="s">
        <v>794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246"/>
      <c r="M8" s="245"/>
    </row>
    <row r="9" spans="1:13" s="247" customFormat="1" ht="12.75" customHeight="1">
      <c r="A9" s="313" t="s">
        <v>571</v>
      </c>
      <c r="B9" s="313"/>
      <c r="C9" s="313"/>
      <c r="D9" s="313"/>
      <c r="E9" s="313"/>
      <c r="F9" s="313"/>
      <c r="G9" s="313"/>
      <c r="H9" s="313"/>
      <c r="I9" s="246"/>
      <c r="J9" s="246"/>
      <c r="K9" s="246"/>
      <c r="L9" s="246"/>
      <c r="M9" s="245"/>
    </row>
    <row r="10" spans="1:13" s="247" customFormat="1" ht="13.5" customHeight="1">
      <c r="A10" s="248"/>
      <c r="B10" s="248"/>
      <c r="C10" s="249"/>
      <c r="D10" s="249"/>
      <c r="E10" s="249"/>
      <c r="F10" s="249"/>
      <c r="G10" s="249"/>
      <c r="H10" s="249"/>
      <c r="I10" s="246"/>
      <c r="J10" s="246"/>
      <c r="K10" s="246"/>
      <c r="L10" s="246"/>
      <c r="M10" s="245"/>
    </row>
    <row r="11" spans="1:16" s="52" customFormat="1" ht="12.75">
      <c r="A11" s="52" t="s">
        <v>670</v>
      </c>
      <c r="C11" s="17"/>
      <c r="D11" s="17"/>
      <c r="I11" s="17"/>
      <c r="J11" s="17"/>
      <c r="K11" s="17"/>
      <c r="L11" s="17"/>
      <c r="M11" s="17"/>
      <c r="N11" s="17"/>
      <c r="O11" s="17"/>
      <c r="P11" s="17"/>
    </row>
    <row r="12" spans="3:16" s="52" customFormat="1" ht="12.75">
      <c r="C12" s="17"/>
      <c r="D12" s="17"/>
      <c r="I12" s="17"/>
      <c r="J12" s="17"/>
      <c r="K12" s="17"/>
      <c r="L12" s="17"/>
      <c r="M12" s="211" t="s">
        <v>672</v>
      </c>
      <c r="N12" s="243"/>
      <c r="O12" s="244" t="s">
        <v>671</v>
      </c>
      <c r="P12" s="17"/>
    </row>
    <row r="13" spans="3:16" s="52" customFormat="1" ht="12.75">
      <c r="C13" s="17"/>
      <c r="D13" s="17"/>
      <c r="E13" s="17"/>
      <c r="F13" s="211"/>
      <c r="G13" s="243"/>
      <c r="H13" s="244"/>
      <c r="I13" s="17"/>
      <c r="J13" s="17"/>
      <c r="K13" s="17"/>
      <c r="L13" s="17"/>
      <c r="M13" s="17"/>
      <c r="N13" s="17"/>
      <c r="O13" s="17"/>
      <c r="P13" s="17"/>
    </row>
    <row r="14" spans="1:15" s="131" customFormat="1" ht="12.75">
      <c r="A14" s="335" t="s">
        <v>573</v>
      </c>
      <c r="B14" s="334" t="s">
        <v>674</v>
      </c>
      <c r="C14" s="336" t="s">
        <v>546</v>
      </c>
      <c r="D14" s="336" t="s">
        <v>547</v>
      </c>
      <c r="E14" s="334" t="s">
        <v>559</v>
      </c>
      <c r="F14" s="334"/>
      <c r="G14" s="334"/>
      <c r="H14" s="334"/>
      <c r="I14" s="334"/>
      <c r="J14" s="334"/>
      <c r="K14" s="334" t="s">
        <v>560</v>
      </c>
      <c r="L14" s="334" t="s">
        <v>25</v>
      </c>
      <c r="M14" s="334"/>
      <c r="N14" s="334"/>
      <c r="O14" s="334"/>
    </row>
    <row r="15" spans="1:15" s="7" customFormat="1" ht="79.5">
      <c r="A15" s="335"/>
      <c r="B15" s="334"/>
      <c r="C15" s="348"/>
      <c r="D15" s="348"/>
      <c r="E15" s="199" t="s">
        <v>583</v>
      </c>
      <c r="F15" s="199" t="s">
        <v>553</v>
      </c>
      <c r="G15" s="199" t="s">
        <v>673</v>
      </c>
      <c r="H15" s="200" t="s">
        <v>577</v>
      </c>
      <c r="I15" s="199" t="s">
        <v>578</v>
      </c>
      <c r="J15" s="199" t="s">
        <v>584</v>
      </c>
      <c r="K15" s="199" t="s">
        <v>30</v>
      </c>
      <c r="L15" s="199" t="s">
        <v>579</v>
      </c>
      <c r="M15" s="200" t="s">
        <v>580</v>
      </c>
      <c r="N15" s="199" t="s">
        <v>581</v>
      </c>
      <c r="O15" s="205" t="s">
        <v>582</v>
      </c>
    </row>
    <row r="16" spans="1:15" s="7" customFormat="1" ht="12.75">
      <c r="A16" s="207" t="s">
        <v>570</v>
      </c>
      <c r="B16" s="304" t="s">
        <v>785</v>
      </c>
      <c r="C16" s="276"/>
      <c r="D16" s="276"/>
      <c r="E16" s="212"/>
      <c r="F16" s="213"/>
      <c r="G16" s="213"/>
      <c r="H16" s="213"/>
      <c r="I16" s="213"/>
      <c r="J16" s="213"/>
      <c r="K16" s="213"/>
      <c r="L16" s="213"/>
      <c r="M16" s="213"/>
      <c r="N16" s="213"/>
      <c r="O16" s="213"/>
    </row>
    <row r="17" spans="1:15" s="7" customFormat="1" ht="12.75">
      <c r="A17" s="207" t="s">
        <v>586</v>
      </c>
      <c r="B17" s="273" t="s">
        <v>786</v>
      </c>
      <c r="C17" s="277" t="s">
        <v>36</v>
      </c>
      <c r="D17" s="277">
        <v>14</v>
      </c>
      <c r="E17" s="212"/>
      <c r="F17" s="21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s="7" customFormat="1" ht="12.75">
      <c r="A18" s="207" t="s">
        <v>587</v>
      </c>
      <c r="B18" s="273" t="s">
        <v>787</v>
      </c>
      <c r="C18" s="277" t="s">
        <v>36</v>
      </c>
      <c r="D18" s="277">
        <v>14</v>
      </c>
      <c r="E18" s="212"/>
      <c r="F18" s="21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s="7" customFormat="1" ht="12.75">
      <c r="A19" s="207" t="s">
        <v>588</v>
      </c>
      <c r="B19" s="273" t="s">
        <v>788</v>
      </c>
      <c r="C19" s="277" t="s">
        <v>36</v>
      </c>
      <c r="D19" s="277">
        <f>24</f>
        <v>24</v>
      </c>
      <c r="E19" s="212"/>
      <c r="F19" s="213"/>
      <c r="G19" s="213"/>
      <c r="H19" s="213"/>
      <c r="I19" s="213"/>
      <c r="J19" s="213"/>
      <c r="K19" s="213"/>
      <c r="L19" s="213"/>
      <c r="M19" s="213"/>
      <c r="N19" s="213"/>
      <c r="O19" s="213"/>
    </row>
    <row r="20" spans="1:15" s="7" customFormat="1" ht="25.5">
      <c r="A20" s="207" t="s">
        <v>589</v>
      </c>
      <c r="B20" s="273" t="s">
        <v>789</v>
      </c>
      <c r="C20" s="277" t="s">
        <v>34</v>
      </c>
      <c r="D20" s="277">
        <v>2</v>
      </c>
      <c r="E20" s="212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s="7" customFormat="1" ht="25.5">
      <c r="A21" s="207" t="s">
        <v>590</v>
      </c>
      <c r="B21" s="273" t="s">
        <v>790</v>
      </c>
      <c r="C21" s="277" t="s">
        <v>34</v>
      </c>
      <c r="D21" s="277">
        <v>2</v>
      </c>
      <c r="E21" s="212"/>
      <c r="F21" s="21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s="7" customFormat="1" ht="25.5">
      <c r="A22" s="207" t="s">
        <v>591</v>
      </c>
      <c r="B22" s="274" t="s">
        <v>791</v>
      </c>
      <c r="C22" s="278" t="s">
        <v>33</v>
      </c>
      <c r="D22" s="278">
        <v>1</v>
      </c>
      <c r="E22" s="212"/>
      <c r="F22" s="21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s="7" customFormat="1" ht="12.75">
      <c r="A23" s="207" t="s">
        <v>592</v>
      </c>
      <c r="B23" s="305" t="s">
        <v>612</v>
      </c>
      <c r="C23" s="276"/>
      <c r="D23" s="276"/>
      <c r="E23" s="212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s="7" customFormat="1" ht="12.75">
      <c r="A24" s="207" t="s">
        <v>593</v>
      </c>
      <c r="B24" s="306" t="s">
        <v>613</v>
      </c>
      <c r="C24" s="279" t="s">
        <v>36</v>
      </c>
      <c r="D24" s="279">
        <v>4</v>
      </c>
      <c r="E24" s="212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1:15" s="7" customFormat="1" ht="25.5">
      <c r="A25" s="207" t="s">
        <v>595</v>
      </c>
      <c r="B25" s="275" t="s">
        <v>616</v>
      </c>
      <c r="C25" s="279" t="s">
        <v>34</v>
      </c>
      <c r="D25" s="279">
        <v>2</v>
      </c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5" s="7" customFormat="1" ht="25.5">
      <c r="A26" s="207" t="s">
        <v>596</v>
      </c>
      <c r="B26" s="307" t="s">
        <v>792</v>
      </c>
      <c r="C26" s="279" t="s">
        <v>34</v>
      </c>
      <c r="D26" s="279">
        <v>2</v>
      </c>
      <c r="E26" s="212"/>
      <c r="F26" s="21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s="7" customFormat="1" ht="12.75">
      <c r="A27" s="207" t="s">
        <v>597</v>
      </c>
      <c r="B27" s="306" t="s">
        <v>614</v>
      </c>
      <c r="C27" s="279" t="s">
        <v>34</v>
      </c>
      <c r="D27" s="279">
        <v>2</v>
      </c>
      <c r="E27" s="212"/>
      <c r="F27" s="21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1:15" s="7" customFormat="1" ht="12.75">
      <c r="A28" s="207" t="s">
        <v>617</v>
      </c>
      <c r="B28" s="308" t="s">
        <v>615</v>
      </c>
      <c r="C28" s="279" t="s">
        <v>34</v>
      </c>
      <c r="D28" s="279">
        <v>1</v>
      </c>
      <c r="E28" s="214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s="7" customFormat="1" ht="12.75">
      <c r="A29" s="349" t="s">
        <v>663</v>
      </c>
      <c r="B29" s="350"/>
      <c r="C29" s="350"/>
      <c r="D29" s="350"/>
      <c r="E29" s="350"/>
      <c r="F29" s="350"/>
      <c r="G29" s="350"/>
      <c r="H29" s="350"/>
      <c r="I29" s="350"/>
      <c r="J29" s="351"/>
      <c r="K29" s="213"/>
      <c r="L29" s="213"/>
      <c r="M29" s="213"/>
      <c r="N29" s="213"/>
      <c r="O29" s="213"/>
    </row>
    <row r="30" spans="1:15" ht="12.75" customHeight="1">
      <c r="A30" s="345" t="s">
        <v>551</v>
      </c>
      <c r="B30" s="346"/>
      <c r="C30" s="346"/>
      <c r="D30" s="346"/>
      <c r="E30" s="346"/>
      <c r="F30" s="346"/>
      <c r="G30" s="346"/>
      <c r="H30" s="346"/>
      <c r="I30" s="346"/>
      <c r="J30" s="347"/>
      <c r="K30" s="215"/>
      <c r="L30" s="215"/>
      <c r="M30" s="215"/>
      <c r="N30" s="215"/>
      <c r="O30" s="215"/>
    </row>
    <row r="31" spans="1:15" ht="12" customHeight="1">
      <c r="A31" s="197"/>
      <c r="B31" s="7"/>
      <c r="C31" s="194"/>
      <c r="D31" s="203"/>
      <c r="E31" s="186"/>
      <c r="F31" s="187"/>
      <c r="G31" s="187"/>
      <c r="H31" s="186"/>
      <c r="I31" s="188"/>
      <c r="J31" s="187"/>
      <c r="K31" s="187"/>
      <c r="L31" s="187"/>
      <c r="M31" s="187"/>
      <c r="N31" s="187"/>
      <c r="O31" s="187"/>
    </row>
    <row r="32" spans="1:9" ht="15.75" customHeight="1">
      <c r="A32" s="228" t="s">
        <v>6</v>
      </c>
      <c r="B32" s="216"/>
      <c r="C32" s="217"/>
      <c r="D32" s="218"/>
      <c r="E32" s="218"/>
      <c r="F32" s="219"/>
      <c r="G32" s="219"/>
      <c r="I32"/>
    </row>
    <row r="33" spans="1:9" ht="15.75" customHeight="1">
      <c r="A33" s="220"/>
      <c r="B33" s="216"/>
      <c r="C33" s="221" t="s">
        <v>548</v>
      </c>
      <c r="D33" s="222"/>
      <c r="E33" s="222"/>
      <c r="F33" s="223"/>
      <c r="G33" s="223"/>
      <c r="I33"/>
    </row>
    <row r="34" spans="1:13" ht="15">
      <c r="A34" s="224"/>
      <c r="B34" s="198"/>
      <c r="C34" s="225"/>
      <c r="D34" s="318" t="s">
        <v>668</v>
      </c>
      <c r="E34" s="318"/>
      <c r="F34" s="318"/>
      <c r="G34" s="318"/>
      <c r="H34" s="318"/>
      <c r="I34" s="318"/>
      <c r="J34" s="226"/>
      <c r="M34" s="198"/>
    </row>
    <row r="35" spans="1:13" ht="15">
      <c r="A35" s="224"/>
      <c r="B35" s="198"/>
      <c r="C35" s="225"/>
      <c r="D35" s="227"/>
      <c r="E35" s="227"/>
      <c r="F35" s="227"/>
      <c r="G35" s="227"/>
      <c r="H35" s="227"/>
      <c r="I35" s="227"/>
      <c r="J35" s="226"/>
      <c r="M35" s="198"/>
    </row>
    <row r="36" spans="1:9" ht="15.75" customHeight="1">
      <c r="A36" s="228" t="s">
        <v>572</v>
      </c>
      <c r="B36" s="216"/>
      <c r="C36" s="229"/>
      <c r="D36" s="230"/>
      <c r="E36" s="230"/>
      <c r="F36" s="231"/>
      <c r="G36" s="231"/>
      <c r="I36"/>
    </row>
    <row r="37" spans="1:9" ht="15.75" customHeight="1">
      <c r="A37" s="220"/>
      <c r="B37" s="216"/>
      <c r="C37" s="221" t="s">
        <v>548</v>
      </c>
      <c r="D37" s="222"/>
      <c r="E37" s="222"/>
      <c r="F37" s="223"/>
      <c r="G37" s="223"/>
      <c r="I37"/>
    </row>
    <row r="38" spans="1:9" ht="15.75">
      <c r="A38" s="220"/>
      <c r="B38" s="216"/>
      <c r="C38" s="232"/>
      <c r="D38" s="222"/>
      <c r="E38" s="222"/>
      <c r="F38" s="223"/>
      <c r="G38" s="223"/>
      <c r="I38"/>
    </row>
    <row r="39" spans="1:9" ht="15" customHeight="1">
      <c r="A39" s="233" t="s">
        <v>669</v>
      </c>
      <c r="B39" s="234"/>
      <c r="C39" s="235"/>
      <c r="D39" s="222"/>
      <c r="E39" s="222"/>
      <c r="F39" s="236"/>
      <c r="G39" s="236"/>
      <c r="I39"/>
    </row>
    <row r="40" spans="1:9" ht="12.75">
      <c r="A40"/>
      <c r="C40" s="237"/>
      <c r="D40" s="238"/>
      <c r="E40" s="239"/>
      <c r="I40"/>
    </row>
  </sheetData>
  <sheetProtection/>
  <mergeCells count="16">
    <mergeCell ref="C14:C15"/>
    <mergeCell ref="K14:O14"/>
    <mergeCell ref="A14:A15"/>
    <mergeCell ref="B14:B15"/>
    <mergeCell ref="D34:I34"/>
    <mergeCell ref="D14:D15"/>
    <mergeCell ref="E14:J14"/>
    <mergeCell ref="A29:J29"/>
    <mergeCell ref="A30:J30"/>
    <mergeCell ref="A5:H5"/>
    <mergeCell ref="A6:H6"/>
    <mergeCell ref="A7:H7"/>
    <mergeCell ref="A8:K8"/>
    <mergeCell ref="A9:H9"/>
    <mergeCell ref="A2:O2"/>
    <mergeCell ref="A3:O3"/>
  </mergeCells>
  <printOptions/>
  <pageMargins left="0.7874015748031497" right="0.7874015748031497" top="1.1811023622047245" bottom="1.1811023622047245" header="0.31496062992125984" footer="0.31496062992125984"/>
  <pageSetup fitToHeight="0" fitToWidth="1" horizontalDpi="600" verticalDpi="600" orientation="landscape" scale="86" r:id="rId1"/>
  <headerFooter>
    <oddFooter>&amp;C4.tāme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85"/>
  <sheetViews>
    <sheetView zoomScalePageLayoutView="0" workbookViewId="0" topLeftCell="A2">
      <selection activeCell="A1" sqref="A1"/>
    </sheetView>
  </sheetViews>
  <sheetFormatPr defaultColWidth="9.140625" defaultRowHeight="12.75" outlineLevelRow="1"/>
  <cols>
    <col min="1" max="1" width="10.57421875" style="0" customWidth="1"/>
    <col min="2" max="2" width="43.00390625" style="0" customWidth="1"/>
    <col min="3" max="3" width="6.8515625" style="0" customWidth="1"/>
    <col min="4" max="4" width="7.28125" style="0" customWidth="1"/>
    <col min="5" max="5" width="6.8515625" style="132" customWidth="1"/>
    <col min="6" max="6" width="6.421875" style="0" customWidth="1"/>
    <col min="7" max="7" width="7.57421875" style="0" customWidth="1"/>
    <col min="8" max="8" width="11.28125" style="0" customWidth="1"/>
    <col min="9" max="9" width="8.8515625" style="0" customWidth="1"/>
    <col min="10" max="10" width="11.140625" style="0" customWidth="1"/>
    <col min="11" max="11" width="7.7109375" style="0" bestFit="1" customWidth="1"/>
    <col min="12" max="12" width="9.7109375" style="0" customWidth="1"/>
    <col min="13" max="13" width="11.28125" style="0" customWidth="1"/>
    <col min="14" max="14" width="8.140625" style="0" customWidth="1"/>
    <col min="15" max="15" width="10.28125" style="0" customWidth="1"/>
    <col min="17" max="17" width="10.28125" style="0" bestFit="1" customWidth="1"/>
  </cols>
  <sheetData>
    <row r="1" spans="6:9" ht="12.75" hidden="1" outlineLevel="1">
      <c r="F1">
        <v>3.8</v>
      </c>
      <c r="H1" t="s">
        <v>10</v>
      </c>
      <c r="I1" s="50">
        <v>0.08</v>
      </c>
    </row>
    <row r="2" spans="1:15" s="1" customFormat="1" ht="15.75" collapsed="1" thickBot="1">
      <c r="A2" s="361" t="s">
        <v>333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1:15" s="1" customFormat="1" ht="16.5" thickTop="1">
      <c r="A3" s="362" t="s">
        <v>106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353" t="s">
        <v>16</v>
      </c>
      <c r="B5" s="353"/>
      <c r="C5" s="353" t="e">
        <f>#REF!</f>
        <v>#REF!</v>
      </c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6" spans="1:15" s="1" customFormat="1" ht="12.75">
      <c r="A6" s="353" t="s">
        <v>17</v>
      </c>
      <c r="B6" s="353"/>
      <c r="C6" s="17" t="e">
        <f>#REF!</f>
        <v>#REF!</v>
      </c>
      <c r="D6" s="2"/>
      <c r="E6" s="1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353" t="s">
        <v>18</v>
      </c>
      <c r="B7" s="353"/>
      <c r="C7" s="1" t="e">
        <f>#REF!</f>
        <v>#REF!</v>
      </c>
      <c r="D7" s="2"/>
      <c r="E7" s="17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53" t="s">
        <v>19</v>
      </c>
      <c r="B8" s="353"/>
      <c r="C8" s="4" t="e">
        <f>#REF!</f>
        <v>#REF!</v>
      </c>
      <c r="D8" s="5"/>
      <c r="E8" s="122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3"/>
      <c r="B9" s="33"/>
      <c r="C9" s="4"/>
      <c r="D9" s="5"/>
      <c r="E9" s="122"/>
      <c r="F9" s="5"/>
      <c r="G9" s="5"/>
      <c r="H9" s="3"/>
      <c r="I9" s="5"/>
      <c r="J9" s="5"/>
      <c r="K9" s="5"/>
      <c r="L9" s="5"/>
      <c r="M9" s="5"/>
      <c r="N9" s="5"/>
      <c r="O9" s="5"/>
    </row>
    <row r="10" spans="1:15" s="1" customFormat="1" ht="12.75">
      <c r="A10" s="33"/>
      <c r="B10" s="33"/>
      <c r="C10" s="25"/>
      <c r="D10" s="26"/>
      <c r="E10" s="122"/>
      <c r="F10" s="5"/>
      <c r="H10" s="7"/>
      <c r="I10" s="39" t="s">
        <v>8</v>
      </c>
      <c r="J10" s="8">
        <f>O277</f>
        <v>26570.19</v>
      </c>
      <c r="K10" s="7" t="s">
        <v>7</v>
      </c>
      <c r="L10" s="5"/>
      <c r="M10" s="5"/>
      <c r="N10" s="5"/>
      <c r="O10" s="5"/>
    </row>
    <row r="11" spans="1:15" s="1" customFormat="1" ht="12.75">
      <c r="A11" s="33"/>
      <c r="B11" s="33"/>
      <c r="C11" s="25"/>
      <c r="D11" s="26"/>
      <c r="E11" s="122"/>
      <c r="F11" s="5"/>
      <c r="G11" s="357" t="s">
        <v>4</v>
      </c>
      <c r="H11" s="357"/>
      <c r="I11" s="357"/>
      <c r="J11" s="363" t="e">
        <f>#REF!</f>
        <v>#REF!</v>
      </c>
      <c r="K11" s="363"/>
      <c r="L11" s="363"/>
      <c r="M11" s="5"/>
      <c r="N11" s="5"/>
      <c r="O11" s="5"/>
    </row>
    <row r="12" spans="1:15" s="1" customFormat="1" ht="12.75">
      <c r="A12" s="33"/>
      <c r="B12" s="33"/>
      <c r="C12" s="25"/>
      <c r="D12" s="26"/>
      <c r="E12" s="122"/>
      <c r="F12" s="5"/>
      <c r="G12" s="5"/>
      <c r="H12" s="3"/>
      <c r="I12" s="5"/>
      <c r="J12" s="5"/>
      <c r="K12" s="5"/>
      <c r="L12" s="5"/>
      <c r="M12" s="5"/>
      <c r="N12" s="5"/>
      <c r="O12" s="5"/>
    </row>
    <row r="13" spans="1:15" s="1" customFormat="1" ht="13.5" thickBot="1">
      <c r="A13" s="34" t="s">
        <v>12</v>
      </c>
      <c r="B13" s="2"/>
      <c r="C13" s="2"/>
      <c r="D13" s="24"/>
      <c r="E13" s="17"/>
      <c r="F13" s="2"/>
      <c r="G13" s="2"/>
      <c r="H13" s="6"/>
      <c r="I13" s="7"/>
      <c r="J13" s="8"/>
      <c r="K13" s="7"/>
      <c r="M13" s="364"/>
      <c r="N13" s="364"/>
      <c r="O13" s="7"/>
    </row>
    <row r="14" spans="1:15" s="1" customFormat="1" ht="18.75" customHeight="1">
      <c r="A14" s="365" t="s">
        <v>20</v>
      </c>
      <c r="B14" s="367" t="s">
        <v>21</v>
      </c>
      <c r="C14" s="369" t="s">
        <v>22</v>
      </c>
      <c r="D14" s="369" t="s">
        <v>23</v>
      </c>
      <c r="E14" s="367" t="s">
        <v>24</v>
      </c>
      <c r="F14" s="367"/>
      <c r="G14" s="367"/>
      <c r="H14" s="367"/>
      <c r="I14" s="367"/>
      <c r="J14" s="367"/>
      <c r="K14" s="367" t="s">
        <v>25</v>
      </c>
      <c r="L14" s="367" t="s">
        <v>25</v>
      </c>
      <c r="M14" s="367"/>
      <c r="N14" s="367"/>
      <c r="O14" s="371"/>
    </row>
    <row r="15" spans="1:15" s="1" customFormat="1" ht="58.5" customHeight="1" thickBot="1">
      <c r="A15" s="366"/>
      <c r="B15" s="368"/>
      <c r="C15" s="370"/>
      <c r="D15" s="370"/>
      <c r="E15" s="123" t="s">
        <v>38</v>
      </c>
      <c r="F15" s="42" t="s">
        <v>26</v>
      </c>
      <c r="G15" s="42" t="s">
        <v>27</v>
      </c>
      <c r="H15" s="43" t="s">
        <v>28</v>
      </c>
      <c r="I15" s="42" t="s">
        <v>29</v>
      </c>
      <c r="J15" s="42" t="s">
        <v>37</v>
      </c>
      <c r="K15" s="42" t="s">
        <v>30</v>
      </c>
      <c r="L15" s="42" t="s">
        <v>31</v>
      </c>
      <c r="M15" s="42" t="s">
        <v>32</v>
      </c>
      <c r="N15" s="42" t="s">
        <v>29</v>
      </c>
      <c r="O15" s="44" t="s">
        <v>37</v>
      </c>
    </row>
    <row r="16" spans="1:15" s="9" customFormat="1" ht="15" customHeight="1" thickBot="1">
      <c r="A16" s="27">
        <v>1</v>
      </c>
      <c r="B16" s="27">
        <v>2</v>
      </c>
      <c r="C16" s="27">
        <v>3</v>
      </c>
      <c r="D16" s="27">
        <v>4</v>
      </c>
      <c r="E16" s="124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  <c r="O16" s="28">
        <v>15</v>
      </c>
    </row>
    <row r="17" spans="1:15" s="9" customFormat="1" ht="15" customHeight="1" thickBot="1">
      <c r="A17" s="354" t="s">
        <v>183</v>
      </c>
      <c r="B17" s="355"/>
      <c r="C17" s="355"/>
      <c r="D17" s="355"/>
      <c r="E17" s="355"/>
      <c r="F17" s="355"/>
      <c r="G17" s="355"/>
      <c r="H17" s="355"/>
      <c r="I17" s="355"/>
      <c r="J17" s="356"/>
      <c r="K17" s="57"/>
      <c r="L17" s="57"/>
      <c r="M17" s="57"/>
      <c r="N17" s="57"/>
      <c r="O17" s="64"/>
    </row>
    <row r="18" spans="1:15" s="9" customFormat="1" ht="15" customHeight="1" thickBot="1">
      <c r="A18" s="143"/>
      <c r="B18" s="358" t="s">
        <v>209</v>
      </c>
      <c r="C18" s="359"/>
      <c r="D18" s="359"/>
      <c r="E18" s="359"/>
      <c r="F18" s="359"/>
      <c r="G18" s="360"/>
      <c r="H18" s="143"/>
      <c r="I18" s="143"/>
      <c r="J18" s="143"/>
      <c r="K18" s="20"/>
      <c r="L18" s="20"/>
      <c r="M18" s="20"/>
      <c r="N18" s="20"/>
      <c r="O18" s="20"/>
    </row>
    <row r="19" spans="1:15" s="139" customFormat="1" ht="15" customHeight="1">
      <c r="A19" s="65" t="s">
        <v>184</v>
      </c>
      <c r="B19" s="66" t="s">
        <v>107</v>
      </c>
      <c r="C19" s="67" t="s">
        <v>43</v>
      </c>
      <c r="D19" s="67">
        <v>30</v>
      </c>
      <c r="E19" s="142">
        <v>0.2</v>
      </c>
      <c r="F19" s="133">
        <f aca="true" t="shared" si="0" ref="F19:F57">$F$1</f>
        <v>3.8</v>
      </c>
      <c r="G19" s="133">
        <f>ROUND(E19*F19,2)</f>
        <v>0.76</v>
      </c>
      <c r="H19" s="133"/>
      <c r="I19" s="133">
        <f>ROUND(G19*$I$1,2)</f>
        <v>0.06</v>
      </c>
      <c r="J19" s="134">
        <f>SUM(G19:I19)</f>
        <v>0.82</v>
      </c>
      <c r="K19" s="134">
        <f>ROUND(D19*E19,2)</f>
        <v>6</v>
      </c>
      <c r="L19" s="134">
        <f>ROUND(D19*G19,2)</f>
        <v>22.8</v>
      </c>
      <c r="M19" s="134">
        <f>ROUND(D19*H19,2)</f>
        <v>0</v>
      </c>
      <c r="N19" s="134">
        <f>ROUND(I19*D19,2)</f>
        <v>1.8</v>
      </c>
      <c r="O19" s="134">
        <f>SUM(L19:N19)</f>
        <v>24.6</v>
      </c>
    </row>
    <row r="20" spans="1:15" s="140" customFormat="1" ht="15" customHeight="1">
      <c r="A20" s="65" t="s">
        <v>185</v>
      </c>
      <c r="B20" s="66" t="s">
        <v>108</v>
      </c>
      <c r="C20" s="67" t="s">
        <v>43</v>
      </c>
      <c r="D20" s="67">
        <v>30</v>
      </c>
      <c r="E20" s="138">
        <v>0.1</v>
      </c>
      <c r="F20" s="133">
        <f t="shared" si="0"/>
        <v>3.8</v>
      </c>
      <c r="G20" s="133">
        <f aca="true" t="shared" si="1" ref="G20:G31">ROUND(E20*F20,2)</f>
        <v>0.38</v>
      </c>
      <c r="H20" s="133"/>
      <c r="I20" s="133">
        <f aca="true" t="shared" si="2" ref="I20:I31">ROUND(G20*$I$1,2)</f>
        <v>0.03</v>
      </c>
      <c r="J20" s="134">
        <f aca="true" t="shared" si="3" ref="J20:J31">SUM(G20:I20)</f>
        <v>0.41</v>
      </c>
      <c r="K20" s="135">
        <f aca="true" t="shared" si="4" ref="K20:K31">ROUND(D20*E20,2)</f>
        <v>3</v>
      </c>
      <c r="L20" s="135">
        <f aca="true" t="shared" si="5" ref="L20:L31">ROUND(D20*G20,2)</f>
        <v>11.4</v>
      </c>
      <c r="M20" s="135">
        <f aca="true" t="shared" si="6" ref="M20:M31">ROUND(D20*H20,2)</f>
        <v>0</v>
      </c>
      <c r="N20" s="135">
        <f aca="true" t="shared" si="7" ref="N20:N31">ROUND(I20*D20,2)</f>
        <v>0.9</v>
      </c>
      <c r="O20" s="135">
        <f>SUM(L20:N20)</f>
        <v>12.3</v>
      </c>
    </row>
    <row r="21" spans="1:15" s="140" customFormat="1" ht="15" customHeight="1">
      <c r="A21" s="65" t="s">
        <v>186</v>
      </c>
      <c r="B21" s="66" t="s">
        <v>196</v>
      </c>
      <c r="C21" s="67" t="s">
        <v>44</v>
      </c>
      <c r="D21" s="67">
        <v>0.65</v>
      </c>
      <c r="E21" s="138">
        <v>1.2</v>
      </c>
      <c r="F21" s="133">
        <f t="shared" si="0"/>
        <v>3.8</v>
      </c>
      <c r="G21" s="133">
        <f t="shared" si="1"/>
        <v>4.56</v>
      </c>
      <c r="H21" s="133"/>
      <c r="I21" s="133">
        <f t="shared" si="2"/>
        <v>0.36</v>
      </c>
      <c r="J21" s="134">
        <f t="shared" si="3"/>
        <v>4.92</v>
      </c>
      <c r="K21" s="135">
        <f t="shared" si="4"/>
        <v>0.78</v>
      </c>
      <c r="L21" s="135">
        <f t="shared" si="5"/>
        <v>2.96</v>
      </c>
      <c r="M21" s="135">
        <f t="shared" si="6"/>
        <v>0</v>
      </c>
      <c r="N21" s="135">
        <f t="shared" si="7"/>
        <v>0.23</v>
      </c>
      <c r="O21" s="135">
        <f aca="true" t="shared" si="8" ref="O21:O31">SUM(L21:N21)</f>
        <v>3.19</v>
      </c>
    </row>
    <row r="22" spans="1:15" s="140" customFormat="1" ht="51">
      <c r="A22" s="179" t="s">
        <v>187</v>
      </c>
      <c r="B22" s="66" t="s">
        <v>197</v>
      </c>
      <c r="C22" s="67" t="s">
        <v>33</v>
      </c>
      <c r="D22" s="67">
        <v>1</v>
      </c>
      <c r="E22" s="138">
        <v>16</v>
      </c>
      <c r="F22" s="133">
        <f t="shared" si="0"/>
        <v>3.8</v>
      </c>
      <c r="G22" s="133">
        <f t="shared" si="1"/>
        <v>60.8</v>
      </c>
      <c r="H22" s="133"/>
      <c r="I22" s="133">
        <f>ROUND(G22*$I$1,2)+110</f>
        <v>114.86</v>
      </c>
      <c r="J22" s="134">
        <f t="shared" si="3"/>
        <v>175.66</v>
      </c>
      <c r="K22" s="135">
        <f t="shared" si="4"/>
        <v>16</v>
      </c>
      <c r="L22" s="135">
        <f t="shared" si="5"/>
        <v>60.8</v>
      </c>
      <c r="M22" s="135">
        <f t="shared" si="6"/>
        <v>0</v>
      </c>
      <c r="N22" s="135">
        <f t="shared" si="7"/>
        <v>114.86</v>
      </c>
      <c r="O22" s="135">
        <f>SUM(L22:N22)</f>
        <v>175.66</v>
      </c>
    </row>
    <row r="23" spans="1:15" s="140" customFormat="1" ht="25.5">
      <c r="A23" s="179" t="s">
        <v>188</v>
      </c>
      <c r="B23" s="66" t="s">
        <v>198</v>
      </c>
      <c r="C23" s="67" t="s">
        <v>36</v>
      </c>
      <c r="D23" s="67">
        <v>45</v>
      </c>
      <c r="E23" s="138">
        <v>0.04</v>
      </c>
      <c r="F23" s="133">
        <f t="shared" si="0"/>
        <v>3.8</v>
      </c>
      <c r="G23" s="133">
        <f t="shared" si="1"/>
        <v>0.15</v>
      </c>
      <c r="H23" s="133"/>
      <c r="I23" s="133">
        <f t="shared" si="2"/>
        <v>0.01</v>
      </c>
      <c r="J23" s="134">
        <f t="shared" si="3"/>
        <v>0.16</v>
      </c>
      <c r="K23" s="135">
        <f t="shared" si="4"/>
        <v>1.8</v>
      </c>
      <c r="L23" s="135">
        <f t="shared" si="5"/>
        <v>6.75</v>
      </c>
      <c r="M23" s="135">
        <f t="shared" si="6"/>
        <v>0</v>
      </c>
      <c r="N23" s="135">
        <f t="shared" si="7"/>
        <v>0.45</v>
      </c>
      <c r="O23" s="135">
        <f t="shared" si="8"/>
        <v>7.2</v>
      </c>
    </row>
    <row r="24" spans="1:15" s="140" customFormat="1" ht="25.5">
      <c r="A24" s="179" t="s">
        <v>189</v>
      </c>
      <c r="B24" s="66" t="s">
        <v>199</v>
      </c>
      <c r="C24" s="67" t="s">
        <v>34</v>
      </c>
      <c r="D24" s="67">
        <v>5</v>
      </c>
      <c r="E24" s="180">
        <v>0.5</v>
      </c>
      <c r="F24" s="133">
        <f t="shared" si="0"/>
        <v>3.8</v>
      </c>
      <c r="G24" s="133">
        <f t="shared" si="1"/>
        <v>1.9</v>
      </c>
      <c r="H24" s="133"/>
      <c r="I24" s="133">
        <f t="shared" si="2"/>
        <v>0.15</v>
      </c>
      <c r="J24" s="134">
        <f t="shared" si="3"/>
        <v>2.05</v>
      </c>
      <c r="K24" s="135">
        <f t="shared" si="4"/>
        <v>2.5</v>
      </c>
      <c r="L24" s="135">
        <f t="shared" si="5"/>
        <v>9.5</v>
      </c>
      <c r="M24" s="135">
        <f t="shared" si="6"/>
        <v>0</v>
      </c>
      <c r="N24" s="135">
        <f t="shared" si="7"/>
        <v>0.75</v>
      </c>
      <c r="O24" s="135">
        <f t="shared" si="8"/>
        <v>10.25</v>
      </c>
    </row>
    <row r="25" spans="1:15" s="140" customFormat="1" ht="25.5">
      <c r="A25" s="179" t="s">
        <v>190</v>
      </c>
      <c r="B25" s="66" t="s">
        <v>110</v>
      </c>
      <c r="C25" s="67" t="s">
        <v>44</v>
      </c>
      <c r="D25" s="67">
        <v>2.7</v>
      </c>
      <c r="E25" s="138">
        <v>1.39</v>
      </c>
      <c r="F25" s="133">
        <f t="shared" si="0"/>
        <v>3.8</v>
      </c>
      <c r="G25" s="133">
        <f t="shared" si="1"/>
        <v>5.28</v>
      </c>
      <c r="H25" s="133"/>
      <c r="I25" s="133">
        <f t="shared" si="2"/>
        <v>0.42</v>
      </c>
      <c r="J25" s="134">
        <f t="shared" si="3"/>
        <v>5.7</v>
      </c>
      <c r="K25" s="135">
        <f t="shared" si="4"/>
        <v>3.75</v>
      </c>
      <c r="L25" s="135">
        <f t="shared" si="5"/>
        <v>14.26</v>
      </c>
      <c r="M25" s="135">
        <f t="shared" si="6"/>
        <v>0</v>
      </c>
      <c r="N25" s="135">
        <f t="shared" si="7"/>
        <v>1.13</v>
      </c>
      <c r="O25" s="135">
        <f>SUM(L25:N25)</f>
        <v>15.39</v>
      </c>
    </row>
    <row r="26" spans="1:15" s="140" customFormat="1" ht="15" customHeight="1">
      <c r="A26" s="179" t="s">
        <v>191</v>
      </c>
      <c r="B26" s="66" t="s">
        <v>200</v>
      </c>
      <c r="C26" s="67" t="s">
        <v>9</v>
      </c>
      <c r="D26" s="67">
        <v>0.662</v>
      </c>
      <c r="E26" s="138">
        <v>1.65</v>
      </c>
      <c r="F26" s="133">
        <f t="shared" si="0"/>
        <v>3.8</v>
      </c>
      <c r="G26" s="133">
        <f t="shared" si="1"/>
        <v>6.27</v>
      </c>
      <c r="H26" s="133"/>
      <c r="I26" s="133">
        <f t="shared" si="2"/>
        <v>0.5</v>
      </c>
      <c r="J26" s="134">
        <f t="shared" si="3"/>
        <v>6.77</v>
      </c>
      <c r="K26" s="135">
        <f t="shared" si="4"/>
        <v>1.09</v>
      </c>
      <c r="L26" s="135">
        <f t="shared" si="5"/>
        <v>4.15</v>
      </c>
      <c r="M26" s="135">
        <f t="shared" si="6"/>
        <v>0</v>
      </c>
      <c r="N26" s="135">
        <f t="shared" si="7"/>
        <v>0.33</v>
      </c>
      <c r="O26" s="135">
        <f t="shared" si="8"/>
        <v>4.48</v>
      </c>
    </row>
    <row r="27" spans="1:15" s="140" customFormat="1" ht="25.5">
      <c r="A27" s="179" t="s">
        <v>192</v>
      </c>
      <c r="B27" s="66" t="s">
        <v>201</v>
      </c>
      <c r="C27" s="67" t="s">
        <v>36</v>
      </c>
      <c r="D27" s="67">
        <v>22</v>
      </c>
      <c r="E27" s="138">
        <v>0.2</v>
      </c>
      <c r="F27" s="133">
        <f t="shared" si="0"/>
        <v>3.8</v>
      </c>
      <c r="G27" s="133">
        <f t="shared" si="1"/>
        <v>0.76</v>
      </c>
      <c r="H27" s="133"/>
      <c r="I27" s="133">
        <f t="shared" si="2"/>
        <v>0.06</v>
      </c>
      <c r="J27" s="134">
        <f t="shared" si="3"/>
        <v>0.82</v>
      </c>
      <c r="K27" s="135">
        <f t="shared" si="4"/>
        <v>4.4</v>
      </c>
      <c r="L27" s="135">
        <f t="shared" si="5"/>
        <v>16.72</v>
      </c>
      <c r="M27" s="135">
        <f t="shared" si="6"/>
        <v>0</v>
      </c>
      <c r="N27" s="135">
        <f t="shared" si="7"/>
        <v>1.32</v>
      </c>
      <c r="O27" s="135">
        <f t="shared" si="8"/>
        <v>18.04</v>
      </c>
    </row>
    <row r="28" spans="1:15" s="140" customFormat="1" ht="25.5">
      <c r="A28" s="179" t="s">
        <v>193</v>
      </c>
      <c r="B28" s="66" t="s">
        <v>202</v>
      </c>
      <c r="C28" s="67" t="s">
        <v>36</v>
      </c>
      <c r="D28" s="67">
        <v>53</v>
      </c>
      <c r="E28" s="138">
        <v>0.22</v>
      </c>
      <c r="F28" s="133">
        <f t="shared" si="0"/>
        <v>3.8</v>
      </c>
      <c r="G28" s="133">
        <f t="shared" si="1"/>
        <v>0.84</v>
      </c>
      <c r="H28" s="133"/>
      <c r="I28" s="133">
        <f t="shared" si="2"/>
        <v>0.07</v>
      </c>
      <c r="J28" s="134">
        <f t="shared" si="3"/>
        <v>0.91</v>
      </c>
      <c r="K28" s="135">
        <f t="shared" si="4"/>
        <v>11.66</v>
      </c>
      <c r="L28" s="135">
        <f t="shared" si="5"/>
        <v>44.52</v>
      </c>
      <c r="M28" s="135">
        <f t="shared" si="6"/>
        <v>0</v>
      </c>
      <c r="N28" s="135">
        <f t="shared" si="7"/>
        <v>3.71</v>
      </c>
      <c r="O28" s="135">
        <f t="shared" si="8"/>
        <v>48.23</v>
      </c>
    </row>
    <row r="29" spans="1:15" s="140" customFormat="1" ht="25.5">
      <c r="A29" s="179" t="s">
        <v>194</v>
      </c>
      <c r="B29" s="66" t="s">
        <v>203</v>
      </c>
      <c r="C29" s="67" t="s">
        <v>43</v>
      </c>
      <c r="D29" s="67">
        <v>60</v>
      </c>
      <c r="E29" s="138">
        <v>0.4</v>
      </c>
      <c r="F29" s="133">
        <f t="shared" si="0"/>
        <v>3.8</v>
      </c>
      <c r="G29" s="133">
        <f t="shared" si="1"/>
        <v>1.52</v>
      </c>
      <c r="H29" s="133"/>
      <c r="I29" s="133">
        <f t="shared" si="2"/>
        <v>0.12</v>
      </c>
      <c r="J29" s="134">
        <f t="shared" si="3"/>
        <v>1.64</v>
      </c>
      <c r="K29" s="135">
        <f t="shared" si="4"/>
        <v>24</v>
      </c>
      <c r="L29" s="135">
        <f t="shared" si="5"/>
        <v>91.2</v>
      </c>
      <c r="M29" s="135">
        <f t="shared" si="6"/>
        <v>0</v>
      </c>
      <c r="N29" s="135">
        <f t="shared" si="7"/>
        <v>7.2</v>
      </c>
      <c r="O29" s="135">
        <f t="shared" si="8"/>
        <v>98.4</v>
      </c>
    </row>
    <row r="30" spans="1:15" s="140" customFormat="1" ht="15" customHeight="1">
      <c r="A30" s="179" t="s">
        <v>195</v>
      </c>
      <c r="B30" s="66" t="s">
        <v>204</v>
      </c>
      <c r="C30" s="67" t="s">
        <v>43</v>
      </c>
      <c r="D30" s="67">
        <v>2.3</v>
      </c>
      <c r="E30" s="138">
        <v>1.15</v>
      </c>
      <c r="F30" s="133">
        <f t="shared" si="0"/>
        <v>3.8</v>
      </c>
      <c r="G30" s="133">
        <f t="shared" si="1"/>
        <v>4.37</v>
      </c>
      <c r="H30" s="133"/>
      <c r="I30" s="133">
        <f t="shared" si="2"/>
        <v>0.35</v>
      </c>
      <c r="J30" s="134">
        <f t="shared" si="3"/>
        <v>4.72</v>
      </c>
      <c r="K30" s="135">
        <f t="shared" si="4"/>
        <v>2.65</v>
      </c>
      <c r="L30" s="135">
        <f t="shared" si="5"/>
        <v>10.05</v>
      </c>
      <c r="M30" s="135">
        <f t="shared" si="6"/>
        <v>0</v>
      </c>
      <c r="N30" s="135">
        <f t="shared" si="7"/>
        <v>0.81</v>
      </c>
      <c r="O30" s="135">
        <f t="shared" si="8"/>
        <v>10.86</v>
      </c>
    </row>
    <row r="31" spans="1:15" s="140" customFormat="1" ht="15" customHeight="1">
      <c r="A31" s="179" t="s">
        <v>220</v>
      </c>
      <c r="B31" s="66" t="s">
        <v>205</v>
      </c>
      <c r="C31" s="67" t="s">
        <v>43</v>
      </c>
      <c r="D31" s="67">
        <v>2.2</v>
      </c>
      <c r="E31" s="138">
        <v>1.15</v>
      </c>
      <c r="F31" s="133">
        <f t="shared" si="0"/>
        <v>3.8</v>
      </c>
      <c r="G31" s="133">
        <f t="shared" si="1"/>
        <v>4.37</v>
      </c>
      <c r="H31" s="133"/>
      <c r="I31" s="133">
        <f t="shared" si="2"/>
        <v>0.35</v>
      </c>
      <c r="J31" s="134">
        <f t="shared" si="3"/>
        <v>4.72</v>
      </c>
      <c r="K31" s="135">
        <f t="shared" si="4"/>
        <v>2.53</v>
      </c>
      <c r="L31" s="135">
        <f t="shared" si="5"/>
        <v>9.61</v>
      </c>
      <c r="M31" s="135">
        <f t="shared" si="6"/>
        <v>0</v>
      </c>
      <c r="N31" s="135">
        <f t="shared" si="7"/>
        <v>0.77</v>
      </c>
      <c r="O31" s="135">
        <f t="shared" si="8"/>
        <v>10.38</v>
      </c>
    </row>
    <row r="32" spans="1:15" s="140" customFormat="1" ht="15" customHeight="1">
      <c r="A32" s="179" t="s">
        <v>221</v>
      </c>
      <c r="B32" s="66" t="s">
        <v>206</v>
      </c>
      <c r="C32" s="67" t="s">
        <v>43</v>
      </c>
      <c r="D32" s="67">
        <v>10</v>
      </c>
      <c r="E32" s="138">
        <v>0.25</v>
      </c>
      <c r="F32" s="133">
        <f t="shared" si="0"/>
        <v>3.8</v>
      </c>
      <c r="G32" s="133">
        <f>ROUND(E32*F32,2)</f>
        <v>0.95</v>
      </c>
      <c r="H32" s="133"/>
      <c r="I32" s="133">
        <f>ROUND(G32*$I$1,2)</f>
        <v>0.08</v>
      </c>
      <c r="J32" s="134">
        <f>SUM(G32:I32)</f>
        <v>1.03</v>
      </c>
      <c r="K32" s="135">
        <f>ROUND(D32*E32,2)</f>
        <v>2.5</v>
      </c>
      <c r="L32" s="135">
        <f>ROUND(D32*G32,2)</f>
        <v>9.5</v>
      </c>
      <c r="M32" s="135">
        <f>ROUND(D32*H32,2)</f>
        <v>0</v>
      </c>
      <c r="N32" s="135">
        <f>ROUND(I32*D32,2)</f>
        <v>0.8</v>
      </c>
      <c r="O32" s="135">
        <f>SUM(L32:N32)</f>
        <v>10.3</v>
      </c>
    </row>
    <row r="33" spans="1:15" s="140" customFormat="1" ht="15" customHeight="1">
      <c r="A33" s="179" t="s">
        <v>222</v>
      </c>
      <c r="B33" s="66" t="s">
        <v>111</v>
      </c>
      <c r="C33" s="67" t="s">
        <v>44</v>
      </c>
      <c r="D33" s="67">
        <v>3</v>
      </c>
      <c r="E33" s="138">
        <v>1.2</v>
      </c>
      <c r="F33" s="133">
        <f t="shared" si="0"/>
        <v>3.8</v>
      </c>
      <c r="G33" s="133">
        <f>ROUND(E33*F33,2)</f>
        <v>4.56</v>
      </c>
      <c r="H33" s="133"/>
      <c r="I33" s="133">
        <f>ROUND(G33*$I$1,2)</f>
        <v>0.36</v>
      </c>
      <c r="J33" s="134">
        <f>SUM(G33:I33)</f>
        <v>4.92</v>
      </c>
      <c r="K33" s="135">
        <f>ROUND(D33*E33,2)</f>
        <v>3.6</v>
      </c>
      <c r="L33" s="135">
        <f>ROUND(D33*G33,2)</f>
        <v>13.68</v>
      </c>
      <c r="M33" s="135">
        <f>ROUND(D33*H33,2)</f>
        <v>0</v>
      </c>
      <c r="N33" s="135">
        <f>ROUND(I33*D33,2)</f>
        <v>1.08</v>
      </c>
      <c r="O33" s="135">
        <f>SUM(L33:N33)</f>
        <v>14.76</v>
      </c>
    </row>
    <row r="34" spans="1:15" s="140" customFormat="1" ht="15" customHeight="1">
      <c r="A34" s="179" t="s">
        <v>223</v>
      </c>
      <c r="B34" s="66" t="s">
        <v>112</v>
      </c>
      <c r="C34" s="67" t="s">
        <v>9</v>
      </c>
      <c r="D34" s="67">
        <v>32</v>
      </c>
      <c r="E34" s="138">
        <v>0.4</v>
      </c>
      <c r="F34" s="133">
        <f t="shared" si="0"/>
        <v>3.8</v>
      </c>
      <c r="G34" s="133">
        <f>ROUND(E34*F34,2)</f>
        <v>1.52</v>
      </c>
      <c r="H34" s="133"/>
      <c r="I34" s="133">
        <f>ROUND(G34*$I$1,2)</f>
        <v>0.12</v>
      </c>
      <c r="J34" s="134">
        <f>SUM(G34:I34)</f>
        <v>1.64</v>
      </c>
      <c r="K34" s="135">
        <f>ROUND(D34*E34,2)</f>
        <v>12.8</v>
      </c>
      <c r="L34" s="135">
        <f>ROUND(D34*G34,2)</f>
        <v>48.64</v>
      </c>
      <c r="M34" s="135">
        <f>ROUND(D34*H34,2)</f>
        <v>0</v>
      </c>
      <c r="N34" s="135">
        <f>ROUND(I34*D34,2)</f>
        <v>3.84</v>
      </c>
      <c r="O34" s="135">
        <f>SUM(L34:N34)</f>
        <v>52.48</v>
      </c>
    </row>
    <row r="35" spans="1:15" s="140" customFormat="1" ht="12.75">
      <c r="A35" s="179" t="s">
        <v>224</v>
      </c>
      <c r="B35" s="66" t="s">
        <v>207</v>
      </c>
      <c r="C35" s="67" t="s">
        <v>9</v>
      </c>
      <c r="D35" s="67">
        <v>32</v>
      </c>
      <c r="E35" s="138">
        <v>0.1</v>
      </c>
      <c r="F35" s="133">
        <f t="shared" si="0"/>
        <v>3.8</v>
      </c>
      <c r="G35" s="133">
        <f>ROUND(E35*F35,2)</f>
        <v>0.38</v>
      </c>
      <c r="H35" s="133"/>
      <c r="I35" s="133">
        <f>ROUND(G35*$I$1,2)+2</f>
        <v>2.03</v>
      </c>
      <c r="J35" s="134">
        <f>SUM(G35:I35)</f>
        <v>2.41</v>
      </c>
      <c r="K35" s="135">
        <f>ROUND(D35*E35,2)</f>
        <v>3.2</v>
      </c>
      <c r="L35" s="135">
        <f>ROUND(D35*G35,2)</f>
        <v>12.16</v>
      </c>
      <c r="M35" s="135">
        <f>ROUND(D35*H35,2)</f>
        <v>0</v>
      </c>
      <c r="N35" s="135">
        <f>ROUND(I35*D35,2)</f>
        <v>64.96</v>
      </c>
      <c r="O35" s="135">
        <f>SUM(L35:N35)</f>
        <v>77.12</v>
      </c>
    </row>
    <row r="36" spans="1:15" s="140" customFormat="1" ht="26.25" thickBot="1">
      <c r="A36" s="179" t="s">
        <v>225</v>
      </c>
      <c r="B36" s="66" t="s">
        <v>208</v>
      </c>
      <c r="C36" s="179" t="s">
        <v>217</v>
      </c>
      <c r="D36" s="179">
        <v>16</v>
      </c>
      <c r="E36" s="138">
        <v>0.1</v>
      </c>
      <c r="F36" s="133">
        <f t="shared" si="0"/>
        <v>3.8</v>
      </c>
      <c r="G36" s="133">
        <f>ROUND(E36*F36,2)</f>
        <v>0.38</v>
      </c>
      <c r="H36" s="133">
        <v>15.2</v>
      </c>
      <c r="I36" s="133">
        <f>ROUND(G36*$I$1,2)</f>
        <v>0.03</v>
      </c>
      <c r="J36" s="134">
        <f>SUM(G36:I36)</f>
        <v>15.61</v>
      </c>
      <c r="K36" s="135">
        <f>ROUND(D36*E36,2)</f>
        <v>1.6</v>
      </c>
      <c r="L36" s="135">
        <f>ROUND(D36*G36,2)</f>
        <v>6.08</v>
      </c>
      <c r="M36" s="135">
        <f>ROUND(D36*H36,2)</f>
        <v>243.2</v>
      </c>
      <c r="N36" s="135">
        <f>ROUND(I36*D36,2)</f>
        <v>0.48</v>
      </c>
      <c r="O36" s="135">
        <f>SUM(L36:N36)</f>
        <v>249.76</v>
      </c>
    </row>
    <row r="37" spans="1:15" s="9" customFormat="1" ht="13.5" thickBot="1">
      <c r="A37" s="65"/>
      <c r="B37" s="358" t="s">
        <v>210</v>
      </c>
      <c r="C37" s="359"/>
      <c r="D37" s="359"/>
      <c r="E37" s="359"/>
      <c r="F37" s="359"/>
      <c r="G37" s="360"/>
      <c r="H37" s="29"/>
      <c r="I37" s="29"/>
      <c r="J37" s="29"/>
      <c r="K37" s="29"/>
      <c r="L37" s="29"/>
      <c r="M37" s="29"/>
      <c r="N37" s="29"/>
      <c r="O37" s="29"/>
    </row>
    <row r="38" spans="1:15" s="9" customFormat="1" ht="15" customHeight="1" thickBot="1">
      <c r="A38" s="68" t="s">
        <v>226</v>
      </c>
      <c r="B38" s="69" t="s">
        <v>109</v>
      </c>
      <c r="C38" s="68" t="s">
        <v>36</v>
      </c>
      <c r="D38" s="68">
        <v>1</v>
      </c>
      <c r="E38" s="136">
        <v>0.3</v>
      </c>
      <c r="F38" s="133">
        <f t="shared" si="0"/>
        <v>3.8</v>
      </c>
      <c r="G38" s="133">
        <f>ROUND(E38*F38,2)</f>
        <v>1.14</v>
      </c>
      <c r="H38" s="133"/>
      <c r="I38" s="133">
        <f>ROUND(G38*$I$1,2)+1.2</f>
        <v>1.29</v>
      </c>
      <c r="J38" s="134">
        <f>SUM(G38:I38)</f>
        <v>2.43</v>
      </c>
      <c r="K38" s="135">
        <f>ROUND(D38*E38,2)</f>
        <v>0.3</v>
      </c>
      <c r="L38" s="135">
        <f>ROUND(D38*G38,2)</f>
        <v>1.14</v>
      </c>
      <c r="M38" s="135">
        <f>ROUND(D38*H38,2)</f>
        <v>0</v>
      </c>
      <c r="N38" s="135">
        <f>ROUND(I38*D38,2)</f>
        <v>1.29</v>
      </c>
      <c r="O38" s="135">
        <f>SUM(L38:N38)</f>
        <v>2.43</v>
      </c>
    </row>
    <row r="39" spans="1:15" s="9" customFormat="1" ht="15" customHeight="1" thickBot="1">
      <c r="A39" s="354" t="s">
        <v>212</v>
      </c>
      <c r="B39" s="355"/>
      <c r="C39" s="355"/>
      <c r="D39" s="355"/>
      <c r="E39" s="355"/>
      <c r="F39" s="355"/>
      <c r="G39" s="355"/>
      <c r="H39" s="355"/>
      <c r="I39" s="355"/>
      <c r="J39" s="356"/>
      <c r="K39" s="29"/>
      <c r="L39" s="29"/>
      <c r="M39" s="29"/>
      <c r="N39" s="29"/>
      <c r="O39" s="29"/>
    </row>
    <row r="40" spans="1:15" s="140" customFormat="1" ht="15" customHeight="1">
      <c r="A40" s="70" t="s">
        <v>227</v>
      </c>
      <c r="B40" s="66" t="s">
        <v>213</v>
      </c>
      <c r="C40" s="67" t="s">
        <v>214</v>
      </c>
      <c r="D40" s="67">
        <v>1</v>
      </c>
      <c r="E40" s="138">
        <v>8</v>
      </c>
      <c r="F40" s="133">
        <f t="shared" si="0"/>
        <v>3.8</v>
      </c>
      <c r="G40" s="133">
        <f>ROUND(E40*F40,2)</f>
        <v>30.4</v>
      </c>
      <c r="H40" s="133">
        <v>55</v>
      </c>
      <c r="I40" s="133">
        <f>ROUND(G40*$I$1,2)</f>
        <v>2.43</v>
      </c>
      <c r="J40" s="134">
        <f>SUM(G40:I40)</f>
        <v>87.83</v>
      </c>
      <c r="K40" s="135">
        <f>ROUND(D40*E40,2)</f>
        <v>8</v>
      </c>
      <c r="L40" s="135">
        <f>ROUND(D40*G40,2)</f>
        <v>30.4</v>
      </c>
      <c r="M40" s="135">
        <f>ROUND(D40*H40,2)</f>
        <v>55</v>
      </c>
      <c r="N40" s="135">
        <f>ROUND(I40*D40,2)</f>
        <v>2.43</v>
      </c>
      <c r="O40" s="135">
        <f>SUM(L40:N40)</f>
        <v>87.83</v>
      </c>
    </row>
    <row r="41" spans="1:15" s="9" customFormat="1" ht="15" customHeight="1">
      <c r="A41" s="70" t="s">
        <v>228</v>
      </c>
      <c r="B41" s="66" t="s">
        <v>211</v>
      </c>
      <c r="C41" s="67" t="s">
        <v>34</v>
      </c>
      <c r="D41" s="67">
        <v>1</v>
      </c>
      <c r="E41" s="138">
        <v>2</v>
      </c>
      <c r="F41" s="133">
        <f t="shared" si="0"/>
        <v>3.8</v>
      </c>
      <c r="G41" s="133">
        <f>ROUND(E41*F41,2)</f>
        <v>7.6</v>
      </c>
      <c r="H41" s="133"/>
      <c r="I41" s="133">
        <f>ROUND(G41*$I$1,2)</f>
        <v>0.61</v>
      </c>
      <c r="J41" s="134">
        <f>SUM(G41:I41)</f>
        <v>8.21</v>
      </c>
      <c r="K41" s="135">
        <f>ROUND(D41*E41,2)</f>
        <v>2</v>
      </c>
      <c r="L41" s="135">
        <f>ROUND(D41*G41,2)</f>
        <v>7.6</v>
      </c>
      <c r="M41" s="135">
        <f>ROUND(D41*H41,2)</f>
        <v>0</v>
      </c>
      <c r="N41" s="135">
        <f>ROUND(I41*D41,2)</f>
        <v>0.61</v>
      </c>
      <c r="O41" s="135">
        <f>SUM(L41:N41)</f>
        <v>8.21</v>
      </c>
    </row>
    <row r="42" spans="1:15" s="145" customFormat="1" ht="15" customHeight="1">
      <c r="A42" s="70" t="s">
        <v>229</v>
      </c>
      <c r="B42" s="71" t="s">
        <v>47</v>
      </c>
      <c r="C42" s="72" t="s">
        <v>34</v>
      </c>
      <c r="D42" s="72">
        <v>1</v>
      </c>
      <c r="E42" s="144"/>
      <c r="F42" s="146">
        <f t="shared" si="0"/>
        <v>3.8</v>
      </c>
      <c r="G42" s="146">
        <f aca="true" t="shared" si="9" ref="G42:G50">ROUND(E42*F42,2)</f>
        <v>0</v>
      </c>
      <c r="H42" s="146">
        <v>22.8</v>
      </c>
      <c r="I42" s="146">
        <f aca="true" t="shared" si="10" ref="I42:I50">ROUND(G42*$I$1,2)</f>
        <v>0</v>
      </c>
      <c r="J42" s="147">
        <f aca="true" t="shared" si="11" ref="J42:J50">SUM(G42:I42)</f>
        <v>22.8</v>
      </c>
      <c r="K42" s="148">
        <f aca="true" t="shared" si="12" ref="K42:K50">ROUND(D42*E42,2)</f>
        <v>0</v>
      </c>
      <c r="L42" s="148">
        <f aca="true" t="shared" si="13" ref="L42:L50">ROUND(D42*G42,2)</f>
        <v>0</v>
      </c>
      <c r="M42" s="148">
        <f aca="true" t="shared" si="14" ref="M42:M50">ROUND(D42*H42,2)</f>
        <v>22.8</v>
      </c>
      <c r="N42" s="148">
        <f aca="true" t="shared" si="15" ref="N42:N50">ROUND(I42*D42,2)</f>
        <v>0</v>
      </c>
      <c r="O42" s="148">
        <f aca="true" t="shared" si="16" ref="O42:O50">SUM(L42:N42)</f>
        <v>22.8</v>
      </c>
    </row>
    <row r="43" spans="1:15" s="145" customFormat="1" ht="15" customHeight="1">
      <c r="A43" s="70" t="s">
        <v>230</v>
      </c>
      <c r="B43" s="71" t="s">
        <v>48</v>
      </c>
      <c r="C43" s="72" t="s">
        <v>33</v>
      </c>
      <c r="D43" s="72">
        <v>1</v>
      </c>
      <c r="E43" s="144"/>
      <c r="F43" s="146">
        <f t="shared" si="0"/>
        <v>3.8</v>
      </c>
      <c r="G43" s="146">
        <f t="shared" si="9"/>
        <v>0</v>
      </c>
      <c r="H43" s="146">
        <v>12</v>
      </c>
      <c r="I43" s="146">
        <f t="shared" si="10"/>
        <v>0</v>
      </c>
      <c r="J43" s="147">
        <f t="shared" si="11"/>
        <v>12</v>
      </c>
      <c r="K43" s="148">
        <f t="shared" si="12"/>
        <v>0</v>
      </c>
      <c r="L43" s="148">
        <f t="shared" si="13"/>
        <v>0</v>
      </c>
      <c r="M43" s="148">
        <f t="shared" si="14"/>
        <v>12</v>
      </c>
      <c r="N43" s="148">
        <f t="shared" si="15"/>
        <v>0</v>
      </c>
      <c r="O43" s="148">
        <f t="shared" si="16"/>
        <v>12</v>
      </c>
    </row>
    <row r="44" spans="1:15" s="9" customFormat="1" ht="15" customHeight="1">
      <c r="A44" s="70" t="s">
        <v>231</v>
      </c>
      <c r="B44" s="66" t="s">
        <v>113</v>
      </c>
      <c r="C44" s="67" t="s">
        <v>42</v>
      </c>
      <c r="D44" s="67">
        <v>1</v>
      </c>
      <c r="E44" s="138">
        <v>1</v>
      </c>
      <c r="F44" s="133">
        <f t="shared" si="0"/>
        <v>3.8</v>
      </c>
      <c r="G44" s="133">
        <f t="shared" si="9"/>
        <v>3.8</v>
      </c>
      <c r="H44" s="133"/>
      <c r="I44" s="133">
        <f t="shared" si="10"/>
        <v>0.3</v>
      </c>
      <c r="J44" s="134">
        <f t="shared" si="11"/>
        <v>4.1</v>
      </c>
      <c r="K44" s="135">
        <f t="shared" si="12"/>
        <v>1</v>
      </c>
      <c r="L44" s="135">
        <f t="shared" si="13"/>
        <v>3.8</v>
      </c>
      <c r="M44" s="135">
        <f t="shared" si="14"/>
        <v>0</v>
      </c>
      <c r="N44" s="135">
        <f t="shared" si="15"/>
        <v>0.3</v>
      </c>
      <c r="O44" s="135">
        <f t="shared" si="16"/>
        <v>4.1</v>
      </c>
    </row>
    <row r="45" spans="1:15" s="145" customFormat="1" ht="15" customHeight="1">
      <c r="A45" s="70" t="s">
        <v>232</v>
      </c>
      <c r="B45" s="71" t="s">
        <v>215</v>
      </c>
      <c r="C45" s="72" t="s">
        <v>34</v>
      </c>
      <c r="D45" s="72">
        <v>1</v>
      </c>
      <c r="E45" s="144"/>
      <c r="F45" s="146">
        <f t="shared" si="0"/>
        <v>3.8</v>
      </c>
      <c r="G45" s="146">
        <f t="shared" si="9"/>
        <v>0</v>
      </c>
      <c r="H45" s="146">
        <v>4.5</v>
      </c>
      <c r="I45" s="146">
        <f t="shared" si="10"/>
        <v>0</v>
      </c>
      <c r="J45" s="147">
        <f t="shared" si="11"/>
        <v>4.5</v>
      </c>
      <c r="K45" s="148">
        <f t="shared" si="12"/>
        <v>0</v>
      </c>
      <c r="L45" s="148">
        <f t="shared" si="13"/>
        <v>0</v>
      </c>
      <c r="M45" s="148">
        <f t="shared" si="14"/>
        <v>4.5</v>
      </c>
      <c r="N45" s="148">
        <f t="shared" si="15"/>
        <v>0</v>
      </c>
      <c r="O45" s="148">
        <f t="shared" si="16"/>
        <v>4.5</v>
      </c>
    </row>
    <row r="46" spans="1:15" s="145" customFormat="1" ht="15" customHeight="1">
      <c r="A46" s="70" t="s">
        <v>233</v>
      </c>
      <c r="B46" s="149" t="s">
        <v>216</v>
      </c>
      <c r="C46" s="72" t="s">
        <v>34</v>
      </c>
      <c r="D46" s="72">
        <v>1</v>
      </c>
      <c r="E46" s="144"/>
      <c r="F46" s="146"/>
      <c r="G46" s="146"/>
      <c r="H46" s="146">
        <v>2.2</v>
      </c>
      <c r="I46" s="146"/>
      <c r="J46" s="147"/>
      <c r="K46" s="148">
        <f t="shared" si="12"/>
        <v>0</v>
      </c>
      <c r="L46" s="148"/>
      <c r="M46" s="148">
        <f t="shared" si="14"/>
        <v>2.2</v>
      </c>
      <c r="N46" s="148"/>
      <c r="O46" s="148">
        <f t="shared" si="16"/>
        <v>2.2</v>
      </c>
    </row>
    <row r="47" spans="1:15" s="145" customFormat="1" ht="15" customHeight="1">
      <c r="A47" s="70" t="s">
        <v>234</v>
      </c>
      <c r="B47" s="71" t="s">
        <v>11</v>
      </c>
      <c r="C47" s="72" t="s">
        <v>36</v>
      </c>
      <c r="D47" s="72">
        <v>1</v>
      </c>
      <c r="E47" s="144"/>
      <c r="F47" s="146">
        <f t="shared" si="0"/>
        <v>3.8</v>
      </c>
      <c r="G47" s="146">
        <f t="shared" si="9"/>
        <v>0</v>
      </c>
      <c r="H47" s="146">
        <v>0.4</v>
      </c>
      <c r="I47" s="146">
        <f t="shared" si="10"/>
        <v>0</v>
      </c>
      <c r="J47" s="147">
        <f t="shared" si="11"/>
        <v>0.4</v>
      </c>
      <c r="K47" s="148">
        <f t="shared" si="12"/>
        <v>0</v>
      </c>
      <c r="L47" s="148">
        <f t="shared" si="13"/>
        <v>0</v>
      </c>
      <c r="M47" s="148">
        <f t="shared" si="14"/>
        <v>0.4</v>
      </c>
      <c r="N47" s="148">
        <f t="shared" si="15"/>
        <v>0</v>
      </c>
      <c r="O47" s="148">
        <f t="shared" si="16"/>
        <v>0.4</v>
      </c>
    </row>
    <row r="48" spans="1:15" s="9" customFormat="1" ht="38.25">
      <c r="A48" s="70" t="s">
        <v>235</v>
      </c>
      <c r="B48" s="66" t="s">
        <v>218</v>
      </c>
      <c r="C48" s="67" t="s">
        <v>43</v>
      </c>
      <c r="D48" s="67">
        <f>4*15</f>
        <v>60</v>
      </c>
      <c r="E48" s="138">
        <v>0.2</v>
      </c>
      <c r="F48" s="133">
        <f t="shared" si="0"/>
        <v>3.8</v>
      </c>
      <c r="G48" s="133">
        <f>ROUND(E48*F48,2)</f>
        <v>0.76</v>
      </c>
      <c r="H48" s="133"/>
      <c r="I48" s="133">
        <f>ROUND(G48*$I$1,2)+1.1</f>
        <v>1.16</v>
      </c>
      <c r="J48" s="134">
        <f>SUM(G48:I48)</f>
        <v>1.92</v>
      </c>
      <c r="K48" s="135">
        <f>ROUND(D48*E48,2)</f>
        <v>12</v>
      </c>
      <c r="L48" s="135">
        <f>ROUND(D48*G48,2)</f>
        <v>45.6</v>
      </c>
      <c r="M48" s="135">
        <f>ROUND(D48*H48,2)</f>
        <v>0</v>
      </c>
      <c r="N48" s="135">
        <f>ROUND(I48*D48,2)</f>
        <v>69.6</v>
      </c>
      <c r="O48" s="135">
        <f>SUM(L48:N48)</f>
        <v>115.2</v>
      </c>
    </row>
    <row r="49" spans="1:15" s="145" customFormat="1" ht="15" customHeight="1">
      <c r="A49" s="70" t="s">
        <v>236</v>
      </c>
      <c r="B49" s="71" t="s">
        <v>219</v>
      </c>
      <c r="C49" s="72"/>
      <c r="D49" s="72">
        <f>D48*0.25</f>
        <v>15</v>
      </c>
      <c r="E49" s="144"/>
      <c r="F49" s="146"/>
      <c r="G49" s="146"/>
      <c r="H49" s="146">
        <v>11</v>
      </c>
      <c r="I49" s="146">
        <f>ROUND(G49*$I$1,2)</f>
        <v>0</v>
      </c>
      <c r="J49" s="147">
        <f>SUM(G49:I49)</f>
        <v>11</v>
      </c>
      <c r="K49" s="148">
        <f>ROUND(D49*E49,2)</f>
        <v>0</v>
      </c>
      <c r="L49" s="148">
        <f>ROUND(D49*G49,2)</f>
        <v>0</v>
      </c>
      <c r="M49" s="148">
        <f>ROUND(D49*H49,2)</f>
        <v>165</v>
      </c>
      <c r="N49" s="148">
        <f>ROUND(I49*D49,2)</f>
        <v>0</v>
      </c>
      <c r="O49" s="148">
        <f>SUM(L49:N49)</f>
        <v>165</v>
      </c>
    </row>
    <row r="50" spans="1:15" s="145" customFormat="1" ht="15" customHeight="1" thickBot="1">
      <c r="A50" s="70" t="s">
        <v>237</v>
      </c>
      <c r="B50" s="71" t="s">
        <v>35</v>
      </c>
      <c r="C50" s="72" t="s">
        <v>33</v>
      </c>
      <c r="D50" s="72">
        <v>1</v>
      </c>
      <c r="E50" s="144"/>
      <c r="F50" s="146"/>
      <c r="G50" s="146">
        <f t="shared" si="9"/>
        <v>0</v>
      </c>
      <c r="H50" s="146">
        <v>55</v>
      </c>
      <c r="I50" s="146">
        <f t="shared" si="10"/>
        <v>0</v>
      </c>
      <c r="J50" s="147">
        <f t="shared" si="11"/>
        <v>55</v>
      </c>
      <c r="K50" s="148">
        <f t="shared" si="12"/>
        <v>0</v>
      </c>
      <c r="L50" s="148">
        <f t="shared" si="13"/>
        <v>0</v>
      </c>
      <c r="M50" s="148">
        <f t="shared" si="14"/>
        <v>55</v>
      </c>
      <c r="N50" s="148">
        <f t="shared" si="15"/>
        <v>0</v>
      </c>
      <c r="O50" s="148">
        <f t="shared" si="16"/>
        <v>55</v>
      </c>
    </row>
    <row r="51" spans="1:15" s="9" customFormat="1" ht="15" customHeight="1" thickBot="1">
      <c r="A51" s="354" t="s">
        <v>238</v>
      </c>
      <c r="B51" s="355"/>
      <c r="C51" s="355"/>
      <c r="D51" s="355"/>
      <c r="E51" s="355"/>
      <c r="F51" s="355"/>
      <c r="G51" s="355"/>
      <c r="H51" s="355"/>
      <c r="I51" s="355"/>
      <c r="J51" s="356"/>
      <c r="K51" s="29"/>
      <c r="L51" s="29"/>
      <c r="M51" s="29"/>
      <c r="N51" s="29"/>
      <c r="O51" s="29"/>
    </row>
    <row r="52" spans="1:15" s="9" customFormat="1" ht="25.5">
      <c r="A52" s="70" t="s">
        <v>334</v>
      </c>
      <c r="B52" s="66" t="s">
        <v>239</v>
      </c>
      <c r="C52" s="67" t="s">
        <v>33</v>
      </c>
      <c r="D52" s="67">
        <v>1</v>
      </c>
      <c r="E52" s="138">
        <v>16</v>
      </c>
      <c r="F52" s="133">
        <f t="shared" si="0"/>
        <v>3.8</v>
      </c>
      <c r="G52" s="133">
        <f>ROUND(E52*F52,2)</f>
        <v>60.8</v>
      </c>
      <c r="H52" s="133"/>
      <c r="I52" s="133">
        <f>ROUND(G52*$I$1,2)+80</f>
        <v>84.86</v>
      </c>
      <c r="J52" s="134">
        <f aca="true" t="shared" si="17" ref="J52:J58">SUM(G52:I52)</f>
        <v>145.66</v>
      </c>
      <c r="K52" s="135">
        <f aca="true" t="shared" si="18" ref="K52:K58">ROUND(D52*E52,2)</f>
        <v>16</v>
      </c>
      <c r="L52" s="135">
        <f aca="true" t="shared" si="19" ref="L52:L58">ROUND(D52*G52,2)</f>
        <v>60.8</v>
      </c>
      <c r="M52" s="135">
        <f aca="true" t="shared" si="20" ref="M52:M58">ROUND(D52*H52,2)</f>
        <v>0</v>
      </c>
      <c r="N52" s="135">
        <f aca="true" t="shared" si="21" ref="N52:N58">ROUND(I52*D52,2)</f>
        <v>84.86</v>
      </c>
      <c r="O52" s="135">
        <f aca="true" t="shared" si="22" ref="O52:O58">SUM(L52:N52)</f>
        <v>145.66</v>
      </c>
    </row>
    <row r="53" spans="1:15" s="145" customFormat="1" ht="76.5">
      <c r="A53" s="70" t="s">
        <v>335</v>
      </c>
      <c r="B53" s="71" t="s">
        <v>114</v>
      </c>
      <c r="C53" s="72" t="s">
        <v>33</v>
      </c>
      <c r="D53" s="72">
        <v>1</v>
      </c>
      <c r="E53" s="144"/>
      <c r="F53" s="146"/>
      <c r="G53" s="146"/>
      <c r="H53" s="146">
        <v>12600</v>
      </c>
      <c r="I53" s="146">
        <f aca="true" t="shared" si="23" ref="I53:I58">ROUND(G53*$I$1,2)</f>
        <v>0</v>
      </c>
      <c r="J53" s="147">
        <f t="shared" si="17"/>
        <v>12600</v>
      </c>
      <c r="K53" s="148">
        <f t="shared" si="18"/>
        <v>0</v>
      </c>
      <c r="L53" s="148">
        <f t="shared" si="19"/>
        <v>0</v>
      </c>
      <c r="M53" s="148">
        <f t="shared" si="20"/>
        <v>12600</v>
      </c>
      <c r="N53" s="148">
        <f t="shared" si="21"/>
        <v>0</v>
      </c>
      <c r="O53" s="148">
        <f t="shared" si="22"/>
        <v>12600</v>
      </c>
    </row>
    <row r="54" spans="1:15" s="9" customFormat="1" ht="15" customHeight="1">
      <c r="A54" s="70" t="s">
        <v>336</v>
      </c>
      <c r="B54" s="75" t="s">
        <v>115</v>
      </c>
      <c r="C54" s="10" t="s">
        <v>34</v>
      </c>
      <c r="D54" s="10">
        <v>3</v>
      </c>
      <c r="E54" s="136">
        <v>1.22</v>
      </c>
      <c r="F54" s="133">
        <f t="shared" si="0"/>
        <v>3.8</v>
      </c>
      <c r="G54" s="133">
        <f>ROUND(E54*F54,2)</f>
        <v>4.64</v>
      </c>
      <c r="H54" s="133"/>
      <c r="I54" s="133">
        <f t="shared" si="23"/>
        <v>0.37</v>
      </c>
      <c r="J54" s="134">
        <f t="shared" si="17"/>
        <v>5.01</v>
      </c>
      <c r="K54" s="135">
        <f t="shared" si="18"/>
        <v>3.66</v>
      </c>
      <c r="L54" s="135">
        <f t="shared" si="19"/>
        <v>13.92</v>
      </c>
      <c r="M54" s="135">
        <f t="shared" si="20"/>
        <v>0</v>
      </c>
      <c r="N54" s="135">
        <f t="shared" si="21"/>
        <v>1.11</v>
      </c>
      <c r="O54" s="135">
        <f t="shared" si="22"/>
        <v>15.03</v>
      </c>
    </row>
    <row r="55" spans="1:15" s="9" customFormat="1" ht="15" customHeight="1">
      <c r="A55" s="70" t="s">
        <v>337</v>
      </c>
      <c r="B55" s="12" t="s">
        <v>49</v>
      </c>
      <c r="C55" s="72" t="s">
        <v>34</v>
      </c>
      <c r="D55" s="72">
        <v>3</v>
      </c>
      <c r="E55" s="136"/>
      <c r="F55" s="146"/>
      <c r="G55" s="146"/>
      <c r="H55" s="146">
        <v>4.5</v>
      </c>
      <c r="I55" s="146">
        <f t="shared" si="23"/>
        <v>0</v>
      </c>
      <c r="J55" s="147">
        <f t="shared" si="17"/>
        <v>4.5</v>
      </c>
      <c r="K55" s="148">
        <f t="shared" si="18"/>
        <v>0</v>
      </c>
      <c r="L55" s="148">
        <f t="shared" si="19"/>
        <v>0</v>
      </c>
      <c r="M55" s="148">
        <f t="shared" si="20"/>
        <v>13.5</v>
      </c>
      <c r="N55" s="148">
        <f t="shared" si="21"/>
        <v>0</v>
      </c>
      <c r="O55" s="148">
        <f t="shared" si="22"/>
        <v>13.5</v>
      </c>
    </row>
    <row r="56" spans="1:15" s="9" customFormat="1" ht="15" customHeight="1">
      <c r="A56" s="70" t="s">
        <v>338</v>
      </c>
      <c r="B56" s="12" t="s">
        <v>240</v>
      </c>
      <c r="C56" s="72" t="s">
        <v>36</v>
      </c>
      <c r="D56" s="72">
        <v>75</v>
      </c>
      <c r="E56" s="136"/>
      <c r="F56" s="146"/>
      <c r="G56" s="146"/>
      <c r="H56" s="146">
        <v>0.52</v>
      </c>
      <c r="I56" s="146">
        <f t="shared" si="23"/>
        <v>0</v>
      </c>
      <c r="J56" s="147">
        <f t="shared" si="17"/>
        <v>0.52</v>
      </c>
      <c r="K56" s="148">
        <f t="shared" si="18"/>
        <v>0</v>
      </c>
      <c r="L56" s="148">
        <f t="shared" si="19"/>
        <v>0</v>
      </c>
      <c r="M56" s="148">
        <f t="shared" si="20"/>
        <v>39</v>
      </c>
      <c r="N56" s="148">
        <f t="shared" si="21"/>
        <v>0</v>
      </c>
      <c r="O56" s="148">
        <f t="shared" si="22"/>
        <v>39</v>
      </c>
    </row>
    <row r="57" spans="1:15" s="9" customFormat="1" ht="25.5">
      <c r="A57" s="70" t="s">
        <v>339</v>
      </c>
      <c r="B57" s="11" t="s">
        <v>116</v>
      </c>
      <c r="C57" s="10" t="s">
        <v>36</v>
      </c>
      <c r="D57" s="55">
        <f>D58+D59</f>
        <v>33</v>
      </c>
      <c r="E57" s="138">
        <v>1.5</v>
      </c>
      <c r="F57" s="133">
        <f t="shared" si="0"/>
        <v>3.8</v>
      </c>
      <c r="G57" s="133">
        <f>ROUND(E57*F57,2)</f>
        <v>5.7</v>
      </c>
      <c r="H57" s="133"/>
      <c r="I57" s="133">
        <f t="shared" si="23"/>
        <v>0.46</v>
      </c>
      <c r="J57" s="134">
        <f t="shared" si="17"/>
        <v>6.16</v>
      </c>
      <c r="K57" s="135">
        <f t="shared" si="18"/>
        <v>49.5</v>
      </c>
      <c r="L57" s="135">
        <f t="shared" si="19"/>
        <v>188.1</v>
      </c>
      <c r="M57" s="135">
        <f t="shared" si="20"/>
        <v>0</v>
      </c>
      <c r="N57" s="135">
        <f t="shared" si="21"/>
        <v>15.18</v>
      </c>
      <c r="O57" s="135">
        <f t="shared" si="22"/>
        <v>203.28</v>
      </c>
    </row>
    <row r="58" spans="1:15" s="9" customFormat="1" ht="15" customHeight="1">
      <c r="A58" s="70" t="s">
        <v>340</v>
      </c>
      <c r="B58" s="12" t="s">
        <v>50</v>
      </c>
      <c r="C58" s="72" t="s">
        <v>36</v>
      </c>
      <c r="D58" s="76">
        <v>30.1</v>
      </c>
      <c r="E58" s="136"/>
      <c r="F58" s="146"/>
      <c r="G58" s="146"/>
      <c r="H58" s="146">
        <v>16.79</v>
      </c>
      <c r="I58" s="146">
        <f t="shared" si="23"/>
        <v>0</v>
      </c>
      <c r="J58" s="147">
        <f t="shared" si="17"/>
        <v>16.79</v>
      </c>
      <c r="K58" s="148">
        <f t="shared" si="18"/>
        <v>0</v>
      </c>
      <c r="L58" s="148">
        <f t="shared" si="19"/>
        <v>0</v>
      </c>
      <c r="M58" s="148">
        <f t="shared" si="20"/>
        <v>505.38</v>
      </c>
      <c r="N58" s="148">
        <f t="shared" si="21"/>
        <v>0</v>
      </c>
      <c r="O58" s="148">
        <f t="shared" si="22"/>
        <v>505.38</v>
      </c>
    </row>
    <row r="59" spans="1:15" s="9" customFormat="1" ht="15" customHeight="1">
      <c r="A59" s="70" t="s">
        <v>341</v>
      </c>
      <c r="B59" s="12" t="s">
        <v>51</v>
      </c>
      <c r="C59" s="72" t="s">
        <v>36</v>
      </c>
      <c r="D59" s="76">
        <f>1.3+1.6</f>
        <v>2.9</v>
      </c>
      <c r="E59" s="136"/>
      <c r="F59" s="146"/>
      <c r="G59" s="146"/>
      <c r="H59" s="146">
        <v>3.83</v>
      </c>
      <c r="I59" s="146">
        <f aca="true" t="shared" si="24" ref="I59:I67">ROUND(G59*$I$1,2)</f>
        <v>0</v>
      </c>
      <c r="J59" s="147">
        <f aca="true" t="shared" si="25" ref="J59:J67">SUM(G59:I59)</f>
        <v>3.83</v>
      </c>
      <c r="K59" s="148">
        <f aca="true" t="shared" si="26" ref="K59:K69">ROUND(D59*E59,2)</f>
        <v>0</v>
      </c>
      <c r="L59" s="148">
        <f aca="true" t="shared" si="27" ref="L59:L69">ROUND(D59*G59,2)</f>
        <v>0</v>
      </c>
      <c r="M59" s="148">
        <f aca="true" t="shared" si="28" ref="M59:M69">ROUND(D59*H59,2)</f>
        <v>11.11</v>
      </c>
      <c r="N59" s="148">
        <f aca="true" t="shared" si="29" ref="N59:N67">ROUND(I59*D59,2)</f>
        <v>0</v>
      </c>
      <c r="O59" s="148">
        <f aca="true" t="shared" si="30" ref="O59:O67">SUM(L59:N59)</f>
        <v>11.11</v>
      </c>
    </row>
    <row r="60" spans="1:15" s="9" customFormat="1" ht="15" customHeight="1">
      <c r="A60" s="70" t="s">
        <v>342</v>
      </c>
      <c r="B60" s="12" t="s">
        <v>241</v>
      </c>
      <c r="C60" s="72" t="s">
        <v>34</v>
      </c>
      <c r="D60" s="76">
        <v>6</v>
      </c>
      <c r="E60" s="136"/>
      <c r="F60" s="146"/>
      <c r="G60" s="146"/>
      <c r="H60" s="146">
        <v>16.54</v>
      </c>
      <c r="I60" s="146">
        <f t="shared" si="24"/>
        <v>0</v>
      </c>
      <c r="J60" s="147">
        <f t="shared" si="25"/>
        <v>16.54</v>
      </c>
      <c r="K60" s="148">
        <f t="shared" si="26"/>
        <v>0</v>
      </c>
      <c r="L60" s="148">
        <f t="shared" si="27"/>
        <v>0</v>
      </c>
      <c r="M60" s="148">
        <f t="shared" si="28"/>
        <v>99.24</v>
      </c>
      <c r="N60" s="148">
        <f t="shared" si="29"/>
        <v>0</v>
      </c>
      <c r="O60" s="148">
        <f t="shared" si="30"/>
        <v>99.24</v>
      </c>
    </row>
    <row r="61" spans="1:15" s="9" customFormat="1" ht="15" customHeight="1">
      <c r="A61" s="70" t="s">
        <v>343</v>
      </c>
      <c r="B61" s="12" t="s">
        <v>242</v>
      </c>
      <c r="C61" s="72" t="s">
        <v>34</v>
      </c>
      <c r="D61" s="76">
        <v>2</v>
      </c>
      <c r="E61" s="136"/>
      <c r="F61" s="146"/>
      <c r="G61" s="146"/>
      <c r="H61" s="146">
        <v>4.56</v>
      </c>
      <c r="I61" s="146">
        <f t="shared" si="24"/>
        <v>0</v>
      </c>
      <c r="J61" s="147">
        <f t="shared" si="25"/>
        <v>4.56</v>
      </c>
      <c r="K61" s="148">
        <f t="shared" si="26"/>
        <v>0</v>
      </c>
      <c r="L61" s="148">
        <f t="shared" si="27"/>
        <v>0</v>
      </c>
      <c r="M61" s="148">
        <f t="shared" si="28"/>
        <v>9.12</v>
      </c>
      <c r="N61" s="148">
        <f t="shared" si="29"/>
        <v>0</v>
      </c>
      <c r="O61" s="148">
        <f t="shared" si="30"/>
        <v>9.12</v>
      </c>
    </row>
    <row r="62" spans="1:15" s="9" customFormat="1" ht="15" customHeight="1">
      <c r="A62" s="70" t="s">
        <v>344</v>
      </c>
      <c r="B62" s="12" t="s">
        <v>117</v>
      </c>
      <c r="C62" s="72" t="s">
        <v>34</v>
      </c>
      <c r="D62" s="76">
        <v>4</v>
      </c>
      <c r="E62" s="136"/>
      <c r="F62" s="146"/>
      <c r="G62" s="146"/>
      <c r="H62" s="146">
        <v>5.45</v>
      </c>
      <c r="I62" s="146">
        <f t="shared" si="24"/>
        <v>0</v>
      </c>
      <c r="J62" s="147">
        <f t="shared" si="25"/>
        <v>5.45</v>
      </c>
      <c r="K62" s="148">
        <f t="shared" si="26"/>
        <v>0</v>
      </c>
      <c r="L62" s="148">
        <f t="shared" si="27"/>
        <v>0</v>
      </c>
      <c r="M62" s="148">
        <f t="shared" si="28"/>
        <v>21.8</v>
      </c>
      <c r="N62" s="148">
        <f t="shared" si="29"/>
        <v>0</v>
      </c>
      <c r="O62" s="148">
        <f t="shared" si="30"/>
        <v>21.8</v>
      </c>
    </row>
    <row r="63" spans="1:15" s="9" customFormat="1" ht="15" customHeight="1">
      <c r="A63" s="70" t="s">
        <v>345</v>
      </c>
      <c r="B63" s="12" t="s">
        <v>118</v>
      </c>
      <c r="C63" s="72" t="s">
        <v>34</v>
      </c>
      <c r="D63" s="76">
        <v>1</v>
      </c>
      <c r="E63" s="136"/>
      <c r="F63" s="146"/>
      <c r="G63" s="146"/>
      <c r="H63" s="146">
        <v>5.45</v>
      </c>
      <c r="I63" s="146">
        <f t="shared" si="24"/>
        <v>0</v>
      </c>
      <c r="J63" s="147">
        <f t="shared" si="25"/>
        <v>5.45</v>
      </c>
      <c r="K63" s="148">
        <f t="shared" si="26"/>
        <v>0</v>
      </c>
      <c r="L63" s="148">
        <f t="shared" si="27"/>
        <v>0</v>
      </c>
      <c r="M63" s="148">
        <f t="shared" si="28"/>
        <v>5.45</v>
      </c>
      <c r="N63" s="148">
        <f t="shared" si="29"/>
        <v>0</v>
      </c>
      <c r="O63" s="148">
        <f t="shared" si="30"/>
        <v>5.45</v>
      </c>
    </row>
    <row r="64" spans="1:15" s="9" customFormat="1" ht="15" customHeight="1">
      <c r="A64" s="70" t="s">
        <v>346</v>
      </c>
      <c r="B64" s="12" t="s">
        <v>119</v>
      </c>
      <c r="C64" s="72" t="s">
        <v>34</v>
      </c>
      <c r="D64" s="76">
        <v>2</v>
      </c>
      <c r="E64" s="136"/>
      <c r="F64" s="146"/>
      <c r="G64" s="146"/>
      <c r="H64" s="146">
        <v>1.24</v>
      </c>
      <c r="I64" s="146">
        <f t="shared" si="24"/>
        <v>0</v>
      </c>
      <c r="J64" s="147">
        <f t="shared" si="25"/>
        <v>1.24</v>
      </c>
      <c r="K64" s="148">
        <f t="shared" si="26"/>
        <v>0</v>
      </c>
      <c r="L64" s="148">
        <f t="shared" si="27"/>
        <v>0</v>
      </c>
      <c r="M64" s="148">
        <f t="shared" si="28"/>
        <v>2.48</v>
      </c>
      <c r="N64" s="148">
        <f t="shared" si="29"/>
        <v>0</v>
      </c>
      <c r="O64" s="148">
        <f t="shared" si="30"/>
        <v>2.48</v>
      </c>
    </row>
    <row r="65" spans="1:15" s="9" customFormat="1" ht="15" customHeight="1">
      <c r="A65" s="70" t="s">
        <v>347</v>
      </c>
      <c r="B65" s="12" t="s">
        <v>54</v>
      </c>
      <c r="C65" s="72" t="s">
        <v>34</v>
      </c>
      <c r="D65" s="76">
        <v>2</v>
      </c>
      <c r="E65" s="136"/>
      <c r="F65" s="146"/>
      <c r="G65" s="146"/>
      <c r="H65" s="146">
        <v>15.2</v>
      </c>
      <c r="I65" s="146">
        <f t="shared" si="24"/>
        <v>0</v>
      </c>
      <c r="J65" s="147">
        <f t="shared" si="25"/>
        <v>15.2</v>
      </c>
      <c r="K65" s="148">
        <f t="shared" si="26"/>
        <v>0</v>
      </c>
      <c r="L65" s="148">
        <f t="shared" si="27"/>
        <v>0</v>
      </c>
      <c r="M65" s="148">
        <f t="shared" si="28"/>
        <v>30.4</v>
      </c>
      <c r="N65" s="148">
        <f t="shared" si="29"/>
        <v>0</v>
      </c>
      <c r="O65" s="148">
        <f t="shared" si="30"/>
        <v>30.4</v>
      </c>
    </row>
    <row r="66" spans="1:15" s="9" customFormat="1" ht="15" customHeight="1">
      <c r="A66" s="70" t="s">
        <v>348</v>
      </c>
      <c r="B66" s="12" t="s">
        <v>55</v>
      </c>
      <c r="C66" s="72" t="s">
        <v>34</v>
      </c>
      <c r="D66" s="76">
        <v>1</v>
      </c>
      <c r="E66" s="136"/>
      <c r="F66" s="146"/>
      <c r="G66" s="146"/>
      <c r="H66" s="146">
        <v>15.2</v>
      </c>
      <c r="I66" s="146">
        <f t="shared" si="24"/>
        <v>0</v>
      </c>
      <c r="J66" s="147">
        <f t="shared" si="25"/>
        <v>15.2</v>
      </c>
      <c r="K66" s="148">
        <f t="shared" si="26"/>
        <v>0</v>
      </c>
      <c r="L66" s="148">
        <f t="shared" si="27"/>
        <v>0</v>
      </c>
      <c r="M66" s="148">
        <f t="shared" si="28"/>
        <v>15.2</v>
      </c>
      <c r="N66" s="148">
        <f t="shared" si="29"/>
        <v>0</v>
      </c>
      <c r="O66" s="148">
        <f t="shared" si="30"/>
        <v>15.2</v>
      </c>
    </row>
    <row r="67" spans="1:15" s="9" customFormat="1" ht="15" customHeight="1">
      <c r="A67" s="70" t="s">
        <v>349</v>
      </c>
      <c r="B67" s="12" t="s">
        <v>56</v>
      </c>
      <c r="C67" s="72" t="s">
        <v>34</v>
      </c>
      <c r="D67" s="76">
        <v>1</v>
      </c>
      <c r="E67" s="136"/>
      <c r="F67" s="146"/>
      <c r="G67" s="146"/>
      <c r="H67" s="146">
        <v>36.7</v>
      </c>
      <c r="I67" s="146">
        <f t="shared" si="24"/>
        <v>0</v>
      </c>
      <c r="J67" s="147">
        <f t="shared" si="25"/>
        <v>36.7</v>
      </c>
      <c r="K67" s="148">
        <f t="shared" si="26"/>
        <v>0</v>
      </c>
      <c r="L67" s="148">
        <f t="shared" si="27"/>
        <v>0</v>
      </c>
      <c r="M67" s="148">
        <f t="shared" si="28"/>
        <v>36.7</v>
      </c>
      <c r="N67" s="148">
        <f t="shared" si="29"/>
        <v>0</v>
      </c>
      <c r="O67" s="148">
        <f t="shared" si="30"/>
        <v>36.7</v>
      </c>
    </row>
    <row r="68" spans="1:15" s="9" customFormat="1" ht="25.5">
      <c r="A68" s="70" t="s">
        <v>350</v>
      </c>
      <c r="B68" s="12" t="s">
        <v>244</v>
      </c>
      <c r="C68" s="72" t="s">
        <v>243</v>
      </c>
      <c r="D68" s="76">
        <v>1</v>
      </c>
      <c r="E68" s="136"/>
      <c r="F68" s="146"/>
      <c r="G68" s="146"/>
      <c r="H68" s="146">
        <v>35</v>
      </c>
      <c r="I68" s="146"/>
      <c r="J68" s="147"/>
      <c r="K68" s="147">
        <f t="shared" si="26"/>
        <v>0</v>
      </c>
      <c r="L68" s="147">
        <f t="shared" si="27"/>
        <v>0</v>
      </c>
      <c r="M68" s="147">
        <f t="shared" si="28"/>
        <v>35</v>
      </c>
      <c r="N68" s="148">
        <f aca="true" t="shared" si="31" ref="N68:N88">ROUND(I68*D68,2)</f>
        <v>0</v>
      </c>
      <c r="O68" s="148">
        <f aca="true" t="shared" si="32" ref="O68:O88">SUM(L68:N68)</f>
        <v>35</v>
      </c>
    </row>
    <row r="69" spans="1:15" s="9" customFormat="1" ht="25.5">
      <c r="A69" s="70" t="s">
        <v>351</v>
      </c>
      <c r="B69" s="22" t="s">
        <v>256</v>
      </c>
      <c r="C69" s="49" t="s">
        <v>36</v>
      </c>
      <c r="D69" s="49">
        <f>D70+D71</f>
        <v>26</v>
      </c>
      <c r="E69" s="136">
        <v>0.84</v>
      </c>
      <c r="F69" s="133">
        <f>$F$1</f>
        <v>3.8</v>
      </c>
      <c r="G69" s="133">
        <f>ROUND(E69*F69,2)</f>
        <v>3.19</v>
      </c>
      <c r="H69" s="133"/>
      <c r="I69" s="133">
        <f aca="true" t="shared" si="33" ref="I69:I87">ROUND(G69*$I$1,2)</f>
        <v>0.26</v>
      </c>
      <c r="J69" s="134">
        <f aca="true" t="shared" si="34" ref="J69:J88">SUM(G69:I69)</f>
        <v>3.45</v>
      </c>
      <c r="K69" s="135">
        <f t="shared" si="26"/>
        <v>21.84</v>
      </c>
      <c r="L69" s="135">
        <f t="shared" si="27"/>
        <v>82.94</v>
      </c>
      <c r="M69" s="135">
        <f t="shared" si="28"/>
        <v>0</v>
      </c>
      <c r="N69" s="135">
        <f t="shared" si="31"/>
        <v>6.76</v>
      </c>
      <c r="O69" s="135">
        <f t="shared" si="32"/>
        <v>89.7</v>
      </c>
    </row>
    <row r="70" spans="1:15" s="9" customFormat="1" ht="38.25">
      <c r="A70" s="70" t="s">
        <v>352</v>
      </c>
      <c r="B70" s="89" t="s">
        <v>255</v>
      </c>
      <c r="C70" s="106" t="s">
        <v>36</v>
      </c>
      <c r="D70" s="16">
        <v>24</v>
      </c>
      <c r="E70" s="136"/>
      <c r="F70" s="146"/>
      <c r="G70" s="146"/>
      <c r="H70" s="146">
        <f>ROUND(5.47*0.9,2)</f>
        <v>4.92</v>
      </c>
      <c r="I70" s="146">
        <f t="shared" si="33"/>
        <v>0</v>
      </c>
      <c r="J70" s="147">
        <f t="shared" si="34"/>
        <v>4.92</v>
      </c>
      <c r="K70" s="148">
        <f aca="true" t="shared" si="35" ref="K70:K88">ROUND(D70*E70,2)</f>
        <v>0</v>
      </c>
      <c r="L70" s="148">
        <f aca="true" t="shared" si="36" ref="L70:L88">ROUND(D70*G70,2)</f>
        <v>0</v>
      </c>
      <c r="M70" s="148">
        <f aca="true" t="shared" si="37" ref="M70:M88">ROUND(D70*H70,2)</f>
        <v>118.08</v>
      </c>
      <c r="N70" s="148">
        <f t="shared" si="31"/>
        <v>0</v>
      </c>
      <c r="O70" s="148">
        <f t="shared" si="32"/>
        <v>118.08</v>
      </c>
    </row>
    <row r="71" spans="1:15" s="9" customFormat="1" ht="25.5">
      <c r="A71" s="70" t="s">
        <v>353</v>
      </c>
      <c r="B71" s="89" t="s">
        <v>254</v>
      </c>
      <c r="C71" s="106" t="s">
        <v>36</v>
      </c>
      <c r="D71" s="16">
        <v>2</v>
      </c>
      <c r="E71" s="136"/>
      <c r="F71" s="146"/>
      <c r="G71" s="146"/>
      <c r="H71" s="146">
        <f>ROUND(2.65*0.9,2)</f>
        <v>2.39</v>
      </c>
      <c r="I71" s="146">
        <f t="shared" si="33"/>
        <v>0</v>
      </c>
      <c r="J71" s="147">
        <f t="shared" si="34"/>
        <v>2.39</v>
      </c>
      <c r="K71" s="148">
        <f t="shared" si="35"/>
        <v>0</v>
      </c>
      <c r="L71" s="148">
        <f t="shared" si="36"/>
        <v>0</v>
      </c>
      <c r="M71" s="148">
        <f t="shared" si="37"/>
        <v>4.78</v>
      </c>
      <c r="N71" s="148">
        <f t="shared" si="31"/>
        <v>0</v>
      </c>
      <c r="O71" s="148">
        <f t="shared" si="32"/>
        <v>4.78</v>
      </c>
    </row>
    <row r="72" spans="1:15" s="140" customFormat="1" ht="15" customHeight="1">
      <c r="A72" s="70" t="s">
        <v>354</v>
      </c>
      <c r="B72" s="22" t="s">
        <v>245</v>
      </c>
      <c r="C72" s="151" t="s">
        <v>43</v>
      </c>
      <c r="D72" s="151">
        <v>35</v>
      </c>
      <c r="E72" s="138">
        <v>0.65</v>
      </c>
      <c r="F72" s="133">
        <f>$F$1</f>
        <v>3.8</v>
      </c>
      <c r="G72" s="133">
        <f>ROUND(E72*F72,2)</f>
        <v>2.47</v>
      </c>
      <c r="H72" s="133"/>
      <c r="I72" s="133">
        <f t="shared" si="33"/>
        <v>0.2</v>
      </c>
      <c r="J72" s="134">
        <f t="shared" si="34"/>
        <v>2.67</v>
      </c>
      <c r="K72" s="135">
        <f t="shared" si="35"/>
        <v>22.75</v>
      </c>
      <c r="L72" s="135">
        <f t="shared" si="36"/>
        <v>86.45</v>
      </c>
      <c r="M72" s="135">
        <f t="shared" si="37"/>
        <v>0</v>
      </c>
      <c r="N72" s="135">
        <f t="shared" si="31"/>
        <v>7</v>
      </c>
      <c r="O72" s="135">
        <f t="shared" si="32"/>
        <v>93.45</v>
      </c>
    </row>
    <row r="73" spans="1:15" s="9" customFormat="1" ht="38.25">
      <c r="A73" s="70" t="s">
        <v>355</v>
      </c>
      <c r="B73" s="12" t="s">
        <v>247</v>
      </c>
      <c r="C73" s="106" t="s">
        <v>43</v>
      </c>
      <c r="D73" s="16">
        <v>35</v>
      </c>
      <c r="E73" s="150"/>
      <c r="F73" s="146"/>
      <c r="G73" s="146"/>
      <c r="H73" s="146">
        <v>1.05</v>
      </c>
      <c r="I73" s="146">
        <f t="shared" si="33"/>
        <v>0</v>
      </c>
      <c r="J73" s="147">
        <f t="shared" si="34"/>
        <v>1.05</v>
      </c>
      <c r="K73" s="148">
        <f t="shared" si="35"/>
        <v>0</v>
      </c>
      <c r="L73" s="148">
        <f t="shared" si="36"/>
        <v>0</v>
      </c>
      <c r="M73" s="148">
        <f t="shared" si="37"/>
        <v>36.75</v>
      </c>
      <c r="N73" s="148">
        <f t="shared" si="31"/>
        <v>0</v>
      </c>
      <c r="O73" s="148">
        <f t="shared" si="32"/>
        <v>36.75</v>
      </c>
    </row>
    <row r="74" spans="1:15" s="9" customFormat="1" ht="15" customHeight="1">
      <c r="A74" s="70" t="s">
        <v>356</v>
      </c>
      <c r="B74" s="12" t="s">
        <v>248</v>
      </c>
      <c r="C74" s="106" t="s">
        <v>36</v>
      </c>
      <c r="D74" s="16">
        <v>30</v>
      </c>
      <c r="E74" s="150"/>
      <c r="F74" s="146"/>
      <c r="G74" s="146"/>
      <c r="H74" s="146">
        <v>5.2</v>
      </c>
      <c r="I74" s="146">
        <f t="shared" si="33"/>
        <v>0</v>
      </c>
      <c r="J74" s="147">
        <f t="shared" si="34"/>
        <v>5.2</v>
      </c>
      <c r="K74" s="148">
        <f t="shared" si="35"/>
        <v>0</v>
      </c>
      <c r="L74" s="148">
        <f t="shared" si="36"/>
        <v>0</v>
      </c>
      <c r="M74" s="148">
        <f t="shared" si="37"/>
        <v>156</v>
      </c>
      <c r="N74" s="148">
        <f t="shared" si="31"/>
        <v>0</v>
      </c>
      <c r="O74" s="148">
        <f t="shared" si="32"/>
        <v>156</v>
      </c>
    </row>
    <row r="75" spans="1:15" s="140" customFormat="1" ht="15" customHeight="1">
      <c r="A75" s="70" t="s">
        <v>357</v>
      </c>
      <c r="B75" s="11" t="s">
        <v>120</v>
      </c>
      <c r="C75" s="10" t="s">
        <v>34</v>
      </c>
      <c r="D75" s="55">
        <f>D76+D77+D78</f>
        <v>5</v>
      </c>
      <c r="E75" s="138">
        <v>1.2</v>
      </c>
      <c r="F75" s="133">
        <f>$F$1</f>
        <v>3.8</v>
      </c>
      <c r="G75" s="133">
        <f>ROUND(E75*F75,2)</f>
        <v>4.56</v>
      </c>
      <c r="H75" s="133"/>
      <c r="I75" s="133">
        <f t="shared" si="33"/>
        <v>0.36</v>
      </c>
      <c r="J75" s="134">
        <f t="shared" si="34"/>
        <v>4.92</v>
      </c>
      <c r="K75" s="135">
        <f t="shared" si="35"/>
        <v>6</v>
      </c>
      <c r="L75" s="135">
        <f t="shared" si="36"/>
        <v>22.8</v>
      </c>
      <c r="M75" s="135">
        <f t="shared" si="37"/>
        <v>0</v>
      </c>
      <c r="N75" s="135">
        <f t="shared" si="31"/>
        <v>1.8</v>
      </c>
      <c r="O75" s="135">
        <f t="shared" si="32"/>
        <v>24.6</v>
      </c>
    </row>
    <row r="76" spans="1:15" s="9" customFormat="1" ht="15" customHeight="1">
      <c r="A76" s="70" t="s">
        <v>358</v>
      </c>
      <c r="B76" s="12" t="s">
        <v>57</v>
      </c>
      <c r="C76" s="72" t="s">
        <v>34</v>
      </c>
      <c r="D76" s="76">
        <v>2</v>
      </c>
      <c r="E76" s="136"/>
      <c r="F76" s="146"/>
      <c r="G76" s="146"/>
      <c r="H76" s="146">
        <v>62.5</v>
      </c>
      <c r="I76" s="146">
        <f t="shared" si="33"/>
        <v>0</v>
      </c>
      <c r="J76" s="147">
        <f t="shared" si="34"/>
        <v>62.5</v>
      </c>
      <c r="K76" s="148">
        <f t="shared" si="35"/>
        <v>0</v>
      </c>
      <c r="L76" s="148">
        <f t="shared" si="36"/>
        <v>0</v>
      </c>
      <c r="M76" s="148">
        <f t="shared" si="37"/>
        <v>125</v>
      </c>
      <c r="N76" s="148">
        <f t="shared" si="31"/>
        <v>0</v>
      </c>
      <c r="O76" s="148">
        <f t="shared" si="32"/>
        <v>125</v>
      </c>
    </row>
    <row r="77" spans="1:15" s="9" customFormat="1" ht="15" customHeight="1">
      <c r="A77" s="70" t="s">
        <v>359</v>
      </c>
      <c r="B77" s="12" t="s">
        <v>58</v>
      </c>
      <c r="C77" s="72" t="s">
        <v>34</v>
      </c>
      <c r="D77" s="76">
        <v>1</v>
      </c>
      <c r="E77" s="136"/>
      <c r="F77" s="146"/>
      <c r="G77" s="146"/>
      <c r="H77" s="146">
        <v>14.25</v>
      </c>
      <c r="I77" s="146">
        <f t="shared" si="33"/>
        <v>0</v>
      </c>
      <c r="J77" s="147">
        <f t="shared" si="34"/>
        <v>14.25</v>
      </c>
      <c r="K77" s="148">
        <f t="shared" si="35"/>
        <v>0</v>
      </c>
      <c r="L77" s="148">
        <f t="shared" si="36"/>
        <v>0</v>
      </c>
      <c r="M77" s="148">
        <f t="shared" si="37"/>
        <v>14.25</v>
      </c>
      <c r="N77" s="148">
        <f t="shared" si="31"/>
        <v>0</v>
      </c>
      <c r="O77" s="148">
        <f t="shared" si="32"/>
        <v>14.25</v>
      </c>
    </row>
    <row r="78" spans="1:15" s="9" customFormat="1" ht="15" customHeight="1">
      <c r="A78" s="70" t="s">
        <v>360</v>
      </c>
      <c r="B78" s="12" t="s">
        <v>59</v>
      </c>
      <c r="C78" s="72" t="s">
        <v>34</v>
      </c>
      <c r="D78" s="76">
        <v>2</v>
      </c>
      <c r="E78" s="136"/>
      <c r="F78" s="146"/>
      <c r="G78" s="146"/>
      <c r="H78" s="146">
        <v>75</v>
      </c>
      <c r="I78" s="146">
        <f t="shared" si="33"/>
        <v>0</v>
      </c>
      <c r="J78" s="147">
        <f t="shared" si="34"/>
        <v>75</v>
      </c>
      <c r="K78" s="148">
        <f t="shared" si="35"/>
        <v>0</v>
      </c>
      <c r="L78" s="148">
        <f t="shared" si="36"/>
        <v>0</v>
      </c>
      <c r="M78" s="148">
        <f t="shared" si="37"/>
        <v>150</v>
      </c>
      <c r="N78" s="148">
        <f t="shared" si="31"/>
        <v>0</v>
      </c>
      <c r="O78" s="148">
        <f t="shared" si="32"/>
        <v>150</v>
      </c>
    </row>
    <row r="79" spans="1:15" s="140" customFormat="1" ht="25.5">
      <c r="A79" s="70" t="s">
        <v>361</v>
      </c>
      <c r="B79" s="11" t="s">
        <v>246</v>
      </c>
      <c r="C79" s="10" t="s">
        <v>36</v>
      </c>
      <c r="D79" s="55">
        <f>D80</f>
        <v>18.3</v>
      </c>
      <c r="E79" s="138">
        <v>1.2</v>
      </c>
      <c r="F79" s="133">
        <f>$F$1</f>
        <v>3.8</v>
      </c>
      <c r="G79" s="133">
        <f>ROUND(E79*F79,2)</f>
        <v>4.56</v>
      </c>
      <c r="H79" s="133"/>
      <c r="I79" s="133">
        <f t="shared" si="33"/>
        <v>0.36</v>
      </c>
      <c r="J79" s="134">
        <f t="shared" si="34"/>
        <v>4.92</v>
      </c>
      <c r="K79" s="135">
        <f t="shared" si="35"/>
        <v>21.96</v>
      </c>
      <c r="L79" s="135">
        <f t="shared" si="36"/>
        <v>83.45</v>
      </c>
      <c r="M79" s="135">
        <f t="shared" si="37"/>
        <v>0</v>
      </c>
      <c r="N79" s="135">
        <f t="shared" si="31"/>
        <v>6.59</v>
      </c>
      <c r="O79" s="135">
        <f t="shared" si="32"/>
        <v>90.04</v>
      </c>
    </row>
    <row r="80" spans="1:15" s="9" customFormat="1" ht="15" customHeight="1">
      <c r="A80" s="70" t="s">
        <v>362</v>
      </c>
      <c r="B80" s="12" t="s">
        <v>249</v>
      </c>
      <c r="C80" s="72" t="s">
        <v>36</v>
      </c>
      <c r="D80" s="76">
        <f>15+1.8+0.5+1</f>
        <v>18.3</v>
      </c>
      <c r="E80" s="136"/>
      <c r="F80" s="62"/>
      <c r="G80" s="29"/>
      <c r="H80" s="29">
        <v>2.6</v>
      </c>
      <c r="I80" s="146">
        <f t="shared" si="33"/>
        <v>0</v>
      </c>
      <c r="J80" s="147">
        <f t="shared" si="34"/>
        <v>2.6</v>
      </c>
      <c r="K80" s="148">
        <f t="shared" si="35"/>
        <v>0</v>
      </c>
      <c r="L80" s="148">
        <f t="shared" si="36"/>
        <v>0</v>
      </c>
      <c r="M80" s="148">
        <f t="shared" si="37"/>
        <v>47.58</v>
      </c>
      <c r="N80" s="148">
        <f t="shared" si="31"/>
        <v>0</v>
      </c>
      <c r="O80" s="148">
        <f t="shared" si="32"/>
        <v>47.58</v>
      </c>
    </row>
    <row r="81" spans="1:15" s="9" customFormat="1" ht="15" customHeight="1">
      <c r="A81" s="70" t="s">
        <v>363</v>
      </c>
      <c r="B81" s="74" t="s">
        <v>60</v>
      </c>
      <c r="C81" s="72" t="s">
        <v>34</v>
      </c>
      <c r="D81" s="76">
        <v>1</v>
      </c>
      <c r="E81" s="137"/>
      <c r="F81" s="62"/>
      <c r="G81" s="29"/>
      <c r="H81" s="29">
        <v>4.8</v>
      </c>
      <c r="I81" s="146">
        <f t="shared" si="33"/>
        <v>0</v>
      </c>
      <c r="J81" s="147">
        <f t="shared" si="34"/>
        <v>4.8</v>
      </c>
      <c r="K81" s="148">
        <f t="shared" si="35"/>
        <v>0</v>
      </c>
      <c r="L81" s="148">
        <f t="shared" si="36"/>
        <v>0</v>
      </c>
      <c r="M81" s="148">
        <f t="shared" si="37"/>
        <v>4.8</v>
      </c>
      <c r="N81" s="148">
        <f t="shared" si="31"/>
        <v>0</v>
      </c>
      <c r="O81" s="148">
        <f t="shared" si="32"/>
        <v>4.8</v>
      </c>
    </row>
    <row r="82" spans="1:15" s="9" customFormat="1" ht="15" customHeight="1">
      <c r="A82" s="70" t="s">
        <v>364</v>
      </c>
      <c r="B82" s="12" t="s">
        <v>121</v>
      </c>
      <c r="C82" s="72" t="s">
        <v>34</v>
      </c>
      <c r="D82" s="76">
        <v>1</v>
      </c>
      <c r="E82" s="136"/>
      <c r="F82" s="62"/>
      <c r="G82" s="29"/>
      <c r="H82" s="29">
        <v>1.25</v>
      </c>
      <c r="I82" s="146">
        <f t="shared" si="33"/>
        <v>0</v>
      </c>
      <c r="J82" s="147">
        <f t="shared" si="34"/>
        <v>1.25</v>
      </c>
      <c r="K82" s="148">
        <f t="shared" si="35"/>
        <v>0</v>
      </c>
      <c r="L82" s="148">
        <f t="shared" si="36"/>
        <v>0</v>
      </c>
      <c r="M82" s="148">
        <f t="shared" si="37"/>
        <v>1.25</v>
      </c>
      <c r="N82" s="148">
        <f t="shared" si="31"/>
        <v>0</v>
      </c>
      <c r="O82" s="148">
        <f t="shared" si="32"/>
        <v>1.25</v>
      </c>
    </row>
    <row r="83" spans="1:15" s="9" customFormat="1" ht="15" customHeight="1">
      <c r="A83" s="70" t="s">
        <v>365</v>
      </c>
      <c r="B83" s="12" t="s">
        <v>61</v>
      </c>
      <c r="C83" s="72" t="s">
        <v>34</v>
      </c>
      <c r="D83" s="72">
        <v>1</v>
      </c>
      <c r="E83" s="136"/>
      <c r="F83" s="62"/>
      <c r="G83" s="29"/>
      <c r="H83" s="29">
        <v>3.2</v>
      </c>
      <c r="I83" s="146">
        <f t="shared" si="33"/>
        <v>0</v>
      </c>
      <c r="J83" s="147">
        <f t="shared" si="34"/>
        <v>3.2</v>
      </c>
      <c r="K83" s="148">
        <f t="shared" si="35"/>
        <v>0</v>
      </c>
      <c r="L83" s="148">
        <f t="shared" si="36"/>
        <v>0</v>
      </c>
      <c r="M83" s="148">
        <f t="shared" si="37"/>
        <v>3.2</v>
      </c>
      <c r="N83" s="148">
        <f t="shared" si="31"/>
        <v>0</v>
      </c>
      <c r="O83" s="148">
        <f t="shared" si="32"/>
        <v>3.2</v>
      </c>
    </row>
    <row r="84" spans="1:15" s="140" customFormat="1" ht="25.5">
      <c r="A84" s="70" t="s">
        <v>366</v>
      </c>
      <c r="B84" s="11" t="s">
        <v>250</v>
      </c>
      <c r="C84" s="10" t="s">
        <v>42</v>
      </c>
      <c r="D84" s="55">
        <v>2</v>
      </c>
      <c r="E84" s="138">
        <v>0.8</v>
      </c>
      <c r="F84" s="133">
        <f>$F$1</f>
        <v>3.8</v>
      </c>
      <c r="G84" s="133">
        <f>ROUND(E84*F84,2)</f>
        <v>3.04</v>
      </c>
      <c r="H84" s="133"/>
      <c r="I84" s="133">
        <f t="shared" si="33"/>
        <v>0.24</v>
      </c>
      <c r="J84" s="134">
        <f t="shared" si="34"/>
        <v>3.28</v>
      </c>
      <c r="K84" s="135">
        <f t="shared" si="35"/>
        <v>1.6</v>
      </c>
      <c r="L84" s="135">
        <f t="shared" si="36"/>
        <v>6.08</v>
      </c>
      <c r="M84" s="135">
        <f t="shared" si="37"/>
        <v>0</v>
      </c>
      <c r="N84" s="135">
        <f t="shared" si="31"/>
        <v>0.48</v>
      </c>
      <c r="O84" s="135">
        <f t="shared" si="32"/>
        <v>6.56</v>
      </c>
    </row>
    <row r="85" spans="1:15" s="9" customFormat="1" ht="15" customHeight="1">
      <c r="A85" s="70" t="s">
        <v>367</v>
      </c>
      <c r="B85" s="77" t="s">
        <v>251</v>
      </c>
      <c r="C85" s="10" t="s">
        <v>36</v>
      </c>
      <c r="D85" s="78">
        <v>18.3</v>
      </c>
      <c r="E85" s="138">
        <v>0.22</v>
      </c>
      <c r="F85" s="133">
        <f>$F$1</f>
        <v>3.8</v>
      </c>
      <c r="G85" s="133">
        <f>ROUND(E85*F85,2)</f>
        <v>0.84</v>
      </c>
      <c r="H85" s="133"/>
      <c r="I85" s="133">
        <f t="shared" si="33"/>
        <v>0.07</v>
      </c>
      <c r="J85" s="134">
        <f t="shared" si="34"/>
        <v>0.91</v>
      </c>
      <c r="K85" s="135">
        <f t="shared" si="35"/>
        <v>4.03</v>
      </c>
      <c r="L85" s="135">
        <f t="shared" si="36"/>
        <v>15.37</v>
      </c>
      <c r="M85" s="135">
        <f t="shared" si="37"/>
        <v>0</v>
      </c>
      <c r="N85" s="135">
        <f t="shared" si="31"/>
        <v>1.28</v>
      </c>
      <c r="O85" s="135">
        <f t="shared" si="32"/>
        <v>16.65</v>
      </c>
    </row>
    <row r="86" spans="1:15" s="9" customFormat="1" ht="15" customHeight="1">
      <c r="A86" s="70" t="s">
        <v>368</v>
      </c>
      <c r="B86" s="12" t="s">
        <v>62</v>
      </c>
      <c r="C86" s="72" t="s">
        <v>33</v>
      </c>
      <c r="D86" s="72">
        <v>6</v>
      </c>
      <c r="E86" s="136"/>
      <c r="F86" s="62"/>
      <c r="G86" s="29"/>
      <c r="H86" s="29">
        <v>1.3</v>
      </c>
      <c r="I86" s="146">
        <f t="shared" si="33"/>
        <v>0</v>
      </c>
      <c r="J86" s="147">
        <f t="shared" si="34"/>
        <v>1.3</v>
      </c>
      <c r="K86" s="148">
        <f t="shared" si="35"/>
        <v>0</v>
      </c>
      <c r="L86" s="148">
        <f t="shared" si="36"/>
        <v>0</v>
      </c>
      <c r="M86" s="148">
        <f t="shared" si="37"/>
        <v>7.8</v>
      </c>
      <c r="N86" s="148">
        <f t="shared" si="31"/>
        <v>0</v>
      </c>
      <c r="O86" s="148">
        <f t="shared" si="32"/>
        <v>7.8</v>
      </c>
    </row>
    <row r="87" spans="1:15" s="9" customFormat="1" ht="15" customHeight="1">
      <c r="A87" s="70" t="s">
        <v>369</v>
      </c>
      <c r="B87" s="12" t="s">
        <v>63</v>
      </c>
      <c r="C87" s="72" t="s">
        <v>41</v>
      </c>
      <c r="D87" s="72">
        <v>10</v>
      </c>
      <c r="E87" s="136"/>
      <c r="F87" s="62"/>
      <c r="G87" s="29"/>
      <c r="H87" s="29">
        <v>0.8</v>
      </c>
      <c r="I87" s="146">
        <f t="shared" si="33"/>
        <v>0</v>
      </c>
      <c r="J87" s="147">
        <f t="shared" si="34"/>
        <v>0.8</v>
      </c>
      <c r="K87" s="148">
        <f t="shared" si="35"/>
        <v>0</v>
      </c>
      <c r="L87" s="148">
        <f t="shared" si="36"/>
        <v>0</v>
      </c>
      <c r="M87" s="148">
        <f t="shared" si="37"/>
        <v>8</v>
      </c>
      <c r="N87" s="148">
        <f t="shared" si="31"/>
        <v>0</v>
      </c>
      <c r="O87" s="148">
        <f t="shared" si="32"/>
        <v>8</v>
      </c>
    </row>
    <row r="88" spans="1:15" s="9" customFormat="1" ht="26.25" thickBot="1">
      <c r="A88" s="70" t="s">
        <v>370</v>
      </c>
      <c r="B88" s="12" t="s">
        <v>253</v>
      </c>
      <c r="C88" s="72" t="s">
        <v>33</v>
      </c>
      <c r="D88" s="72">
        <v>1</v>
      </c>
      <c r="E88" s="136"/>
      <c r="F88" s="62"/>
      <c r="G88" s="29"/>
      <c r="H88" s="29">
        <v>55</v>
      </c>
      <c r="I88" s="146"/>
      <c r="J88" s="147">
        <f t="shared" si="34"/>
        <v>55</v>
      </c>
      <c r="K88" s="148">
        <f t="shared" si="35"/>
        <v>0</v>
      </c>
      <c r="L88" s="148">
        <f t="shared" si="36"/>
        <v>0</v>
      </c>
      <c r="M88" s="148">
        <f t="shared" si="37"/>
        <v>55</v>
      </c>
      <c r="N88" s="148">
        <f t="shared" si="31"/>
        <v>0</v>
      </c>
      <c r="O88" s="148">
        <f t="shared" si="32"/>
        <v>55</v>
      </c>
    </row>
    <row r="89" spans="1:15" s="9" customFormat="1" ht="15.75" thickBot="1">
      <c r="A89" s="354" t="s">
        <v>252</v>
      </c>
      <c r="B89" s="355"/>
      <c r="C89" s="355"/>
      <c r="D89" s="355"/>
      <c r="E89" s="355"/>
      <c r="F89" s="355"/>
      <c r="G89" s="355"/>
      <c r="H89" s="355"/>
      <c r="I89" s="355"/>
      <c r="J89" s="356"/>
      <c r="K89" s="29"/>
      <c r="L89" s="29"/>
      <c r="M89" s="29"/>
      <c r="N89" s="29"/>
      <c r="O89" s="29"/>
    </row>
    <row r="90" spans="1:15" s="9" customFormat="1" ht="12.75">
      <c r="A90" s="70" t="s">
        <v>371</v>
      </c>
      <c r="B90" s="79" t="s">
        <v>122</v>
      </c>
      <c r="C90" s="19" t="s">
        <v>33</v>
      </c>
      <c r="D90" s="56">
        <v>1</v>
      </c>
      <c r="E90" s="138">
        <v>1.3</v>
      </c>
      <c r="F90" s="133">
        <f>$F$1</f>
        <v>3.8</v>
      </c>
      <c r="G90" s="133">
        <f>ROUND(E90*F90,2)</f>
        <v>4.94</v>
      </c>
      <c r="H90" s="133"/>
      <c r="I90" s="133">
        <f aca="true" t="shared" si="38" ref="I90:I98">ROUND(G90*$I$1,2)</f>
        <v>0.4</v>
      </c>
      <c r="J90" s="134">
        <f aca="true" t="shared" si="39" ref="J90:J98">SUM(G90:I90)</f>
        <v>5.34</v>
      </c>
      <c r="K90" s="135">
        <f aca="true" t="shared" si="40" ref="K90:K98">ROUND(D90*E90,2)</f>
        <v>1.3</v>
      </c>
      <c r="L90" s="135">
        <f aca="true" t="shared" si="41" ref="L90:L98">ROUND(D90*G90,2)</f>
        <v>4.94</v>
      </c>
      <c r="M90" s="135">
        <f aca="true" t="shared" si="42" ref="M90:M98">ROUND(D90*H90,2)</f>
        <v>0</v>
      </c>
      <c r="N90" s="135">
        <f aca="true" t="shared" si="43" ref="N90:N98">ROUND(I90*D90,2)</f>
        <v>0.4</v>
      </c>
      <c r="O90" s="135">
        <f aca="true" t="shared" si="44" ref="O90:O98">SUM(L90:N90)</f>
        <v>5.34</v>
      </c>
    </row>
    <row r="91" spans="1:15" s="9" customFormat="1" ht="15" customHeight="1">
      <c r="A91" s="70" t="s">
        <v>372</v>
      </c>
      <c r="B91" s="12" t="s">
        <v>64</v>
      </c>
      <c r="C91" s="72" t="s">
        <v>33</v>
      </c>
      <c r="D91" s="58">
        <v>1</v>
      </c>
      <c r="E91" s="136"/>
      <c r="F91" s="20"/>
      <c r="G91" s="29"/>
      <c r="H91" s="29">
        <v>526</v>
      </c>
      <c r="I91" s="146">
        <f t="shared" si="38"/>
        <v>0</v>
      </c>
      <c r="J91" s="147">
        <f t="shared" si="39"/>
        <v>526</v>
      </c>
      <c r="K91" s="148">
        <f t="shared" si="40"/>
        <v>0</v>
      </c>
      <c r="L91" s="148">
        <f t="shared" si="41"/>
        <v>0</v>
      </c>
      <c r="M91" s="148">
        <f t="shared" si="42"/>
        <v>526</v>
      </c>
      <c r="N91" s="148">
        <f t="shared" si="43"/>
        <v>0</v>
      </c>
      <c r="O91" s="148">
        <f t="shared" si="44"/>
        <v>526</v>
      </c>
    </row>
    <row r="92" spans="1:15" s="9" customFormat="1" ht="15" customHeight="1">
      <c r="A92" s="70" t="s">
        <v>373</v>
      </c>
      <c r="B92" s="141" t="s">
        <v>257</v>
      </c>
      <c r="C92" s="10" t="s">
        <v>36</v>
      </c>
      <c r="D92" s="55">
        <f>D93</f>
        <v>6</v>
      </c>
      <c r="E92" s="138">
        <v>0.8</v>
      </c>
      <c r="F92" s="133">
        <f>$F$1</f>
        <v>3.8</v>
      </c>
      <c r="G92" s="133">
        <f>ROUND(E92*F92,2)</f>
        <v>3.04</v>
      </c>
      <c r="H92" s="133"/>
      <c r="I92" s="133">
        <f t="shared" si="38"/>
        <v>0.24</v>
      </c>
      <c r="J92" s="134">
        <f t="shared" si="39"/>
        <v>3.28</v>
      </c>
      <c r="K92" s="135">
        <f t="shared" si="40"/>
        <v>4.8</v>
      </c>
      <c r="L92" s="135">
        <f t="shared" si="41"/>
        <v>18.24</v>
      </c>
      <c r="M92" s="135">
        <f t="shared" si="42"/>
        <v>0</v>
      </c>
      <c r="N92" s="135">
        <f t="shared" si="43"/>
        <v>1.44</v>
      </c>
      <c r="O92" s="135">
        <f t="shared" si="44"/>
        <v>19.68</v>
      </c>
    </row>
    <row r="93" spans="1:15" s="9" customFormat="1" ht="15" customHeight="1">
      <c r="A93" s="70" t="s">
        <v>374</v>
      </c>
      <c r="B93" s="12" t="s">
        <v>65</v>
      </c>
      <c r="C93" s="72" t="s">
        <v>36</v>
      </c>
      <c r="D93" s="72">
        <v>6</v>
      </c>
      <c r="E93" s="136"/>
      <c r="F93" s="20"/>
      <c r="G93" s="29"/>
      <c r="H93" s="29">
        <v>1.62</v>
      </c>
      <c r="I93" s="146">
        <f t="shared" si="38"/>
        <v>0</v>
      </c>
      <c r="J93" s="147">
        <f t="shared" si="39"/>
        <v>1.62</v>
      </c>
      <c r="K93" s="148">
        <f t="shared" si="40"/>
        <v>0</v>
      </c>
      <c r="L93" s="148">
        <f t="shared" si="41"/>
        <v>0</v>
      </c>
      <c r="M93" s="148">
        <f t="shared" si="42"/>
        <v>9.72</v>
      </c>
      <c r="N93" s="148">
        <f t="shared" si="43"/>
        <v>0</v>
      </c>
      <c r="O93" s="148">
        <f t="shared" si="44"/>
        <v>9.72</v>
      </c>
    </row>
    <row r="94" spans="1:15" s="9" customFormat="1" ht="15" customHeight="1">
      <c r="A94" s="70" t="s">
        <v>375</v>
      </c>
      <c r="B94" s="12" t="s">
        <v>123</v>
      </c>
      <c r="C94" s="72" t="s">
        <v>34</v>
      </c>
      <c r="D94" s="72">
        <v>4</v>
      </c>
      <c r="E94" s="136"/>
      <c r="F94" s="20"/>
      <c r="G94" s="29"/>
      <c r="H94" s="29">
        <v>0.42</v>
      </c>
      <c r="I94" s="146">
        <f t="shared" si="38"/>
        <v>0</v>
      </c>
      <c r="J94" s="147">
        <f t="shared" si="39"/>
        <v>0.42</v>
      </c>
      <c r="K94" s="148">
        <f t="shared" si="40"/>
        <v>0</v>
      </c>
      <c r="L94" s="148">
        <f t="shared" si="41"/>
        <v>0</v>
      </c>
      <c r="M94" s="148">
        <f t="shared" si="42"/>
        <v>1.68</v>
      </c>
      <c r="N94" s="148">
        <f t="shared" si="43"/>
        <v>0</v>
      </c>
      <c r="O94" s="148">
        <f t="shared" si="44"/>
        <v>1.68</v>
      </c>
    </row>
    <row r="95" spans="1:15" s="9" customFormat="1" ht="15" customHeight="1">
      <c r="A95" s="70" t="s">
        <v>376</v>
      </c>
      <c r="B95" s="12" t="s">
        <v>66</v>
      </c>
      <c r="C95" s="72" t="s">
        <v>34</v>
      </c>
      <c r="D95" s="72">
        <v>1</v>
      </c>
      <c r="E95" s="136"/>
      <c r="F95" s="20"/>
      <c r="G95" s="29"/>
      <c r="H95" s="29">
        <v>0.4</v>
      </c>
      <c r="I95" s="146">
        <f t="shared" si="38"/>
        <v>0</v>
      </c>
      <c r="J95" s="147">
        <f t="shared" si="39"/>
        <v>0.4</v>
      </c>
      <c r="K95" s="148">
        <f t="shared" si="40"/>
        <v>0</v>
      </c>
      <c r="L95" s="148">
        <f t="shared" si="41"/>
        <v>0</v>
      </c>
      <c r="M95" s="148">
        <f t="shared" si="42"/>
        <v>0.4</v>
      </c>
      <c r="N95" s="148">
        <f t="shared" si="43"/>
        <v>0</v>
      </c>
      <c r="O95" s="148">
        <f t="shared" si="44"/>
        <v>0.4</v>
      </c>
    </row>
    <row r="96" spans="1:15" s="9" customFormat="1" ht="15" customHeight="1">
      <c r="A96" s="70" t="s">
        <v>377</v>
      </c>
      <c r="B96" s="11" t="s">
        <v>258</v>
      </c>
      <c r="C96" s="10" t="s">
        <v>34</v>
      </c>
      <c r="D96" s="55">
        <f>D97</f>
        <v>1</v>
      </c>
      <c r="E96" s="138">
        <v>0.8</v>
      </c>
      <c r="F96" s="133">
        <f>$F$1</f>
        <v>3.8</v>
      </c>
      <c r="G96" s="133">
        <f>ROUND(E96*F96,2)</f>
        <v>3.04</v>
      </c>
      <c r="H96" s="133"/>
      <c r="I96" s="133">
        <f t="shared" si="38"/>
        <v>0.24</v>
      </c>
      <c r="J96" s="134">
        <f t="shared" si="39"/>
        <v>3.28</v>
      </c>
      <c r="K96" s="135">
        <f t="shared" si="40"/>
        <v>0.8</v>
      </c>
      <c r="L96" s="135">
        <f t="shared" si="41"/>
        <v>3.04</v>
      </c>
      <c r="M96" s="135">
        <f t="shared" si="42"/>
        <v>0</v>
      </c>
      <c r="N96" s="135">
        <f t="shared" si="43"/>
        <v>0.24</v>
      </c>
      <c r="O96" s="135">
        <f t="shared" si="44"/>
        <v>3.28</v>
      </c>
    </row>
    <row r="97" spans="1:15" s="9" customFormat="1" ht="15" customHeight="1">
      <c r="A97" s="70" t="s">
        <v>378</v>
      </c>
      <c r="B97" s="12" t="s">
        <v>67</v>
      </c>
      <c r="C97" s="72" t="s">
        <v>34</v>
      </c>
      <c r="D97" s="72">
        <v>1</v>
      </c>
      <c r="E97" s="136"/>
      <c r="F97" s="20"/>
      <c r="G97" s="29"/>
      <c r="H97" s="29">
        <v>20.47</v>
      </c>
      <c r="I97" s="146">
        <f t="shared" si="38"/>
        <v>0</v>
      </c>
      <c r="J97" s="147">
        <f t="shared" si="39"/>
        <v>20.47</v>
      </c>
      <c r="K97" s="148">
        <f t="shared" si="40"/>
        <v>0</v>
      </c>
      <c r="L97" s="148">
        <f t="shared" si="41"/>
        <v>0</v>
      </c>
      <c r="M97" s="148">
        <f t="shared" si="42"/>
        <v>20.47</v>
      </c>
      <c r="N97" s="148">
        <f t="shared" si="43"/>
        <v>0</v>
      </c>
      <c r="O97" s="148">
        <f t="shared" si="44"/>
        <v>20.47</v>
      </c>
    </row>
    <row r="98" spans="1:15" s="9" customFormat="1" ht="15" customHeight="1" thickBot="1">
      <c r="A98" s="70" t="s">
        <v>379</v>
      </c>
      <c r="B98" s="12" t="s">
        <v>35</v>
      </c>
      <c r="C98" s="72" t="s">
        <v>33</v>
      </c>
      <c r="D98" s="72">
        <v>1</v>
      </c>
      <c r="E98" s="136"/>
      <c r="F98" s="20"/>
      <c r="G98" s="29"/>
      <c r="H98" s="29">
        <v>8.2</v>
      </c>
      <c r="I98" s="146">
        <f t="shared" si="38"/>
        <v>0</v>
      </c>
      <c r="J98" s="147">
        <f t="shared" si="39"/>
        <v>8.2</v>
      </c>
      <c r="K98" s="148">
        <f t="shared" si="40"/>
        <v>0</v>
      </c>
      <c r="L98" s="148">
        <f t="shared" si="41"/>
        <v>0</v>
      </c>
      <c r="M98" s="148">
        <f t="shared" si="42"/>
        <v>8.2</v>
      </c>
      <c r="N98" s="148">
        <f t="shared" si="43"/>
        <v>0</v>
      </c>
      <c r="O98" s="148">
        <f t="shared" si="44"/>
        <v>8.2</v>
      </c>
    </row>
    <row r="99" spans="1:15" s="9" customFormat="1" ht="15.75" thickBot="1">
      <c r="A99" s="354" t="s">
        <v>259</v>
      </c>
      <c r="B99" s="355"/>
      <c r="C99" s="355"/>
      <c r="D99" s="355"/>
      <c r="E99" s="355"/>
      <c r="F99" s="355"/>
      <c r="G99" s="355"/>
      <c r="H99" s="355"/>
      <c r="I99" s="355"/>
      <c r="J99" s="356"/>
      <c r="K99" s="29"/>
      <c r="L99" s="29"/>
      <c r="M99" s="29"/>
      <c r="N99" s="29"/>
      <c r="O99" s="29"/>
    </row>
    <row r="100" spans="1:15" s="9" customFormat="1" ht="38.25">
      <c r="A100" s="70" t="s">
        <v>380</v>
      </c>
      <c r="B100" s="79" t="s">
        <v>261</v>
      </c>
      <c r="C100" s="80" t="s">
        <v>33</v>
      </c>
      <c r="D100" s="80">
        <v>1</v>
      </c>
      <c r="E100" s="138">
        <v>16</v>
      </c>
      <c r="F100" s="133">
        <f>$F$1</f>
        <v>3.8</v>
      </c>
      <c r="G100" s="133">
        <f>ROUND(E100*F100,2)</f>
        <v>60.8</v>
      </c>
      <c r="H100" s="133"/>
      <c r="I100" s="133">
        <f>ROUND(G100*$I$1,2)</f>
        <v>4.86</v>
      </c>
      <c r="J100" s="134">
        <f>SUM(G100:I100)</f>
        <v>65.66</v>
      </c>
      <c r="K100" s="135">
        <f>ROUND(D100*E100,2)</f>
        <v>16</v>
      </c>
      <c r="L100" s="135">
        <f>ROUND(D100*G100,2)</f>
        <v>60.8</v>
      </c>
      <c r="M100" s="135">
        <f>ROUND(D100*H100,2)</f>
        <v>0</v>
      </c>
      <c r="N100" s="135">
        <f>ROUND(I100*D100,2)</f>
        <v>4.86</v>
      </c>
      <c r="O100" s="135">
        <f>SUM(L100:N100)</f>
        <v>65.66</v>
      </c>
    </row>
    <row r="101" spans="1:15" s="9" customFormat="1" ht="38.25">
      <c r="A101" s="70" t="s">
        <v>381</v>
      </c>
      <c r="B101" s="12" t="s">
        <v>260</v>
      </c>
      <c r="C101" s="81" t="s">
        <v>33</v>
      </c>
      <c r="D101" s="81">
        <v>1</v>
      </c>
      <c r="E101" s="136"/>
      <c r="F101" s="20"/>
      <c r="G101" s="29"/>
      <c r="H101" s="29">
        <v>256</v>
      </c>
      <c r="I101" s="146">
        <f>ROUND(G101*$I$1,2)</f>
        <v>0</v>
      </c>
      <c r="J101" s="147">
        <f>SUM(G101:I101)</f>
        <v>256</v>
      </c>
      <c r="K101" s="148">
        <f>ROUND(D101*E101,2)</f>
        <v>0</v>
      </c>
      <c r="L101" s="148">
        <f>ROUND(D101*G101,2)</f>
        <v>0</v>
      </c>
      <c r="M101" s="148">
        <f>ROUND(D101*H101,2)</f>
        <v>256</v>
      </c>
      <c r="N101" s="148">
        <f>ROUND(I101*D101,2)</f>
        <v>0</v>
      </c>
      <c r="O101" s="148">
        <f>SUM(L101:N101)</f>
        <v>256</v>
      </c>
    </row>
    <row r="102" spans="1:15" s="9" customFormat="1" ht="51">
      <c r="A102" s="70" t="s">
        <v>382</v>
      </c>
      <c r="B102" s="12" t="s">
        <v>68</v>
      </c>
      <c r="C102" s="81" t="s">
        <v>33</v>
      </c>
      <c r="D102" s="81">
        <v>1</v>
      </c>
      <c r="E102" s="137"/>
      <c r="F102" s="62"/>
      <c r="G102" s="29"/>
      <c r="H102" s="29">
        <v>89</v>
      </c>
      <c r="I102" s="146">
        <f>ROUND(G102*$I$1,2)</f>
        <v>0</v>
      </c>
      <c r="J102" s="147">
        <f>SUM(G102:I102)</f>
        <v>89</v>
      </c>
      <c r="K102" s="148">
        <f>ROUND(D102*E102,2)</f>
        <v>0</v>
      </c>
      <c r="L102" s="148">
        <f>ROUND(D102*G102,2)</f>
        <v>0</v>
      </c>
      <c r="M102" s="148">
        <f>ROUND(D102*H102,2)</f>
        <v>89</v>
      </c>
      <c r="N102" s="148">
        <f>ROUND(I102*D102,2)</f>
        <v>0</v>
      </c>
      <c r="O102" s="148">
        <f>SUM(L102:N102)</f>
        <v>89</v>
      </c>
    </row>
    <row r="103" spans="1:15" s="9" customFormat="1" ht="26.25" thickBot="1">
      <c r="A103" s="70" t="s">
        <v>383</v>
      </c>
      <c r="B103" s="12" t="s">
        <v>35</v>
      </c>
      <c r="C103" s="81" t="s">
        <v>33</v>
      </c>
      <c r="D103" s="81">
        <v>1</v>
      </c>
      <c r="E103" s="137"/>
      <c r="F103" s="62"/>
      <c r="G103" s="29"/>
      <c r="H103" s="29">
        <v>25</v>
      </c>
      <c r="I103" s="146">
        <f>ROUND(G103*$I$1,2)</f>
        <v>0</v>
      </c>
      <c r="J103" s="147">
        <f>SUM(G103:I103)</f>
        <v>25</v>
      </c>
      <c r="K103" s="148">
        <f>ROUND(D103*E103,2)</f>
        <v>0</v>
      </c>
      <c r="L103" s="148">
        <f>ROUND(D103*G103,2)</f>
        <v>0</v>
      </c>
      <c r="M103" s="148">
        <f>ROUND(D103*H103,2)</f>
        <v>25</v>
      </c>
      <c r="N103" s="148">
        <f>ROUND(I103*D103,2)</f>
        <v>0</v>
      </c>
      <c r="O103" s="148">
        <f>SUM(L103:N103)</f>
        <v>25</v>
      </c>
    </row>
    <row r="104" spans="1:15" s="9" customFormat="1" ht="15" customHeight="1" thickBot="1">
      <c r="A104" s="354" t="s">
        <v>262</v>
      </c>
      <c r="B104" s="355"/>
      <c r="C104" s="355"/>
      <c r="D104" s="355"/>
      <c r="E104" s="355"/>
      <c r="F104" s="355"/>
      <c r="G104" s="355"/>
      <c r="H104" s="355"/>
      <c r="I104" s="355"/>
      <c r="J104" s="356"/>
      <c r="K104" s="29"/>
      <c r="L104" s="29"/>
      <c r="M104" s="29"/>
      <c r="N104" s="29"/>
      <c r="O104" s="29"/>
    </row>
    <row r="105" spans="1:15" s="9" customFormat="1" ht="38.25">
      <c r="A105" s="70" t="s">
        <v>384</v>
      </c>
      <c r="B105" s="79" t="s">
        <v>263</v>
      </c>
      <c r="C105" s="80" t="s">
        <v>70</v>
      </c>
      <c r="D105" s="80">
        <v>0.12</v>
      </c>
      <c r="E105" s="138">
        <v>6.06</v>
      </c>
      <c r="F105" s="133">
        <f aca="true" t="shared" si="45" ref="F105:F111">$F$1</f>
        <v>3.8</v>
      </c>
      <c r="G105" s="133">
        <f>ROUND(E105*F105,2)</f>
        <v>23.03</v>
      </c>
      <c r="H105" s="133"/>
      <c r="I105" s="133">
        <f aca="true" t="shared" si="46" ref="I105:I110">ROUND(G105*$I$1,2)</f>
        <v>1.84</v>
      </c>
      <c r="J105" s="134">
        <f aca="true" t="shared" si="47" ref="J105:J126">SUM(G105:I105)</f>
        <v>24.87</v>
      </c>
      <c r="K105" s="135">
        <f aca="true" t="shared" si="48" ref="K105:K126">ROUND(D105*E105,2)</f>
        <v>0.73</v>
      </c>
      <c r="L105" s="135">
        <f aca="true" t="shared" si="49" ref="L105:L126">ROUND(D105*G105,2)</f>
        <v>2.76</v>
      </c>
      <c r="M105" s="135">
        <f aca="true" t="shared" si="50" ref="M105:M126">ROUND(D105*H105,2)</f>
        <v>0</v>
      </c>
      <c r="N105" s="135">
        <f aca="true" t="shared" si="51" ref="N105:N126">ROUND(I105*D105,2)</f>
        <v>0.22</v>
      </c>
      <c r="O105" s="135">
        <f aca="true" t="shared" si="52" ref="O105:O126">SUM(L105:N105)</f>
        <v>2.98</v>
      </c>
    </row>
    <row r="106" spans="1:15" s="9" customFormat="1" ht="15" customHeight="1">
      <c r="A106" s="70" t="s">
        <v>385</v>
      </c>
      <c r="B106" s="12" t="s">
        <v>69</v>
      </c>
      <c r="C106" s="84" t="s">
        <v>70</v>
      </c>
      <c r="D106" s="81">
        <f>D105*1.05</f>
        <v>0.126</v>
      </c>
      <c r="E106" s="136"/>
      <c r="F106" s="62"/>
      <c r="G106" s="29"/>
      <c r="H106" s="29">
        <v>46</v>
      </c>
      <c r="I106" s="146">
        <f t="shared" si="46"/>
        <v>0</v>
      </c>
      <c r="J106" s="147">
        <f t="shared" si="47"/>
        <v>46</v>
      </c>
      <c r="K106" s="148">
        <f t="shared" si="48"/>
        <v>0</v>
      </c>
      <c r="L106" s="148">
        <f t="shared" si="49"/>
        <v>0</v>
      </c>
      <c r="M106" s="148">
        <f t="shared" si="50"/>
        <v>5.8</v>
      </c>
      <c r="N106" s="148">
        <f t="shared" si="51"/>
        <v>0</v>
      </c>
      <c r="O106" s="148">
        <f t="shared" si="52"/>
        <v>5.8</v>
      </c>
    </row>
    <row r="107" spans="1:15" s="9" customFormat="1" ht="25.5">
      <c r="A107" s="70" t="s">
        <v>386</v>
      </c>
      <c r="B107" s="22" t="s">
        <v>264</v>
      </c>
      <c r="C107" s="85" t="s">
        <v>124</v>
      </c>
      <c r="D107" s="86">
        <v>10</v>
      </c>
      <c r="E107" s="138">
        <v>0.4</v>
      </c>
      <c r="F107" s="133">
        <f t="shared" si="45"/>
        <v>3.8</v>
      </c>
      <c r="G107" s="133">
        <f>ROUND(E107*F107,2)</f>
        <v>1.52</v>
      </c>
      <c r="H107" s="133"/>
      <c r="I107" s="133">
        <f t="shared" si="46"/>
        <v>0.12</v>
      </c>
      <c r="J107" s="134">
        <f t="shared" si="47"/>
        <v>1.64</v>
      </c>
      <c r="K107" s="135">
        <f t="shared" si="48"/>
        <v>4</v>
      </c>
      <c r="L107" s="135">
        <f t="shared" si="49"/>
        <v>15.2</v>
      </c>
      <c r="M107" s="135">
        <f t="shared" si="50"/>
        <v>0</v>
      </c>
      <c r="N107" s="135">
        <f t="shared" si="51"/>
        <v>1.2</v>
      </c>
      <c r="O107" s="135">
        <f t="shared" si="52"/>
        <v>16.4</v>
      </c>
    </row>
    <row r="108" spans="1:15" s="9" customFormat="1" ht="15" customHeight="1">
      <c r="A108" s="70" t="s">
        <v>387</v>
      </c>
      <c r="B108" s="87" t="s">
        <v>265</v>
      </c>
      <c r="C108" s="16" t="s">
        <v>13</v>
      </c>
      <c r="D108" s="88">
        <f>SUM(D107*0.1)*1.5</f>
        <v>1.5</v>
      </c>
      <c r="E108" s="136"/>
      <c r="F108" s="62"/>
      <c r="G108" s="29"/>
      <c r="H108" s="29">
        <v>11</v>
      </c>
      <c r="I108" s="146">
        <f t="shared" si="46"/>
        <v>0</v>
      </c>
      <c r="J108" s="147">
        <f t="shared" si="47"/>
        <v>11</v>
      </c>
      <c r="K108" s="148">
        <f t="shared" si="48"/>
        <v>0</v>
      </c>
      <c r="L108" s="148">
        <f t="shared" si="49"/>
        <v>0</v>
      </c>
      <c r="M108" s="148">
        <f t="shared" si="50"/>
        <v>16.5</v>
      </c>
      <c r="N108" s="148">
        <f t="shared" si="51"/>
        <v>0</v>
      </c>
      <c r="O108" s="148">
        <f t="shared" si="52"/>
        <v>16.5</v>
      </c>
    </row>
    <row r="109" spans="1:15" s="9" customFormat="1" ht="15" customHeight="1">
      <c r="A109" s="70" t="s">
        <v>388</v>
      </c>
      <c r="B109" s="22" t="s">
        <v>125</v>
      </c>
      <c r="C109" s="85" t="s">
        <v>124</v>
      </c>
      <c r="D109" s="86">
        <v>10</v>
      </c>
      <c r="E109" s="138">
        <v>1</v>
      </c>
      <c r="F109" s="133">
        <f t="shared" si="45"/>
        <v>3.8</v>
      </c>
      <c r="G109" s="133">
        <f>ROUND(E109*F109,2)</f>
        <v>3.8</v>
      </c>
      <c r="H109" s="133"/>
      <c r="I109" s="133">
        <f t="shared" si="46"/>
        <v>0.3</v>
      </c>
      <c r="J109" s="134">
        <f t="shared" si="47"/>
        <v>4.1</v>
      </c>
      <c r="K109" s="135">
        <f t="shared" si="48"/>
        <v>10</v>
      </c>
      <c r="L109" s="135">
        <f t="shared" si="49"/>
        <v>38</v>
      </c>
      <c r="M109" s="135">
        <f t="shared" si="50"/>
        <v>0</v>
      </c>
      <c r="N109" s="135">
        <f t="shared" si="51"/>
        <v>3</v>
      </c>
      <c r="O109" s="135">
        <f t="shared" si="52"/>
        <v>41</v>
      </c>
    </row>
    <row r="110" spans="1:15" s="9" customFormat="1" ht="15" customHeight="1">
      <c r="A110" s="70" t="s">
        <v>389</v>
      </c>
      <c r="B110" s="47" t="s">
        <v>71</v>
      </c>
      <c r="C110" s="16" t="s">
        <v>13</v>
      </c>
      <c r="D110" s="81">
        <f>SUM(D109*0.05)*1.05</f>
        <v>0.525</v>
      </c>
      <c r="E110" s="136"/>
      <c r="F110" s="62"/>
      <c r="G110" s="29"/>
      <c r="H110" s="29">
        <v>41.5</v>
      </c>
      <c r="I110" s="146">
        <f t="shared" si="46"/>
        <v>0</v>
      </c>
      <c r="J110" s="147">
        <f t="shared" si="47"/>
        <v>41.5</v>
      </c>
      <c r="K110" s="148">
        <f t="shared" si="48"/>
        <v>0</v>
      </c>
      <c r="L110" s="148">
        <f t="shared" si="49"/>
        <v>0</v>
      </c>
      <c r="M110" s="148">
        <f t="shared" si="50"/>
        <v>21.79</v>
      </c>
      <c r="N110" s="148">
        <f t="shared" si="51"/>
        <v>0</v>
      </c>
      <c r="O110" s="148">
        <f t="shared" si="52"/>
        <v>21.79</v>
      </c>
    </row>
    <row r="111" spans="1:15" s="9" customFormat="1" ht="15" customHeight="1">
      <c r="A111" s="70" t="s">
        <v>390</v>
      </c>
      <c r="B111" s="22" t="s">
        <v>126</v>
      </c>
      <c r="C111" s="85" t="s">
        <v>124</v>
      </c>
      <c r="D111" s="86">
        <v>10</v>
      </c>
      <c r="E111" s="138">
        <v>0.2</v>
      </c>
      <c r="F111" s="133">
        <f t="shared" si="45"/>
        <v>3.8</v>
      </c>
      <c r="G111" s="133">
        <f>ROUND(E111*F111,2)</f>
        <v>0.76</v>
      </c>
      <c r="H111" s="133"/>
      <c r="I111" s="133">
        <f>ROUND(G111*$I$1,2)+0.2</f>
        <v>0.26</v>
      </c>
      <c r="J111" s="134">
        <f t="shared" si="47"/>
        <v>1.02</v>
      </c>
      <c r="K111" s="135">
        <f t="shared" si="48"/>
        <v>2</v>
      </c>
      <c r="L111" s="135">
        <f t="shared" si="49"/>
        <v>7.6</v>
      </c>
      <c r="M111" s="135">
        <f t="shared" si="50"/>
        <v>0</v>
      </c>
      <c r="N111" s="135">
        <f t="shared" si="51"/>
        <v>2.6</v>
      </c>
      <c r="O111" s="135">
        <f t="shared" si="52"/>
        <v>10.2</v>
      </c>
    </row>
    <row r="112" spans="1:15" s="9" customFormat="1" ht="15" customHeight="1">
      <c r="A112" s="70" t="s">
        <v>391</v>
      </c>
      <c r="B112" s="47" t="s">
        <v>72</v>
      </c>
      <c r="C112" s="16" t="s">
        <v>43</v>
      </c>
      <c r="D112" s="81">
        <f>SUM(D111*2.2)</f>
        <v>22</v>
      </c>
      <c r="E112" s="137"/>
      <c r="F112" s="62"/>
      <c r="G112" s="29"/>
      <c r="H112" s="29">
        <v>0.9</v>
      </c>
      <c r="I112" s="146">
        <f>ROUND(G112*$I$1,2)</f>
        <v>0</v>
      </c>
      <c r="J112" s="147">
        <f t="shared" si="47"/>
        <v>0.9</v>
      </c>
      <c r="K112" s="148">
        <f t="shared" si="48"/>
        <v>0</v>
      </c>
      <c r="L112" s="148">
        <f t="shared" si="49"/>
        <v>0</v>
      </c>
      <c r="M112" s="148">
        <f t="shared" si="50"/>
        <v>19.8</v>
      </c>
      <c r="N112" s="148">
        <f t="shared" si="51"/>
        <v>0</v>
      </c>
      <c r="O112" s="148">
        <f t="shared" si="52"/>
        <v>19.8</v>
      </c>
    </row>
    <row r="113" spans="1:15" s="9" customFormat="1" ht="15" customHeight="1">
      <c r="A113" s="70" t="s">
        <v>392</v>
      </c>
      <c r="B113" s="47" t="s">
        <v>73</v>
      </c>
      <c r="C113" s="16" t="s">
        <v>74</v>
      </c>
      <c r="D113" s="81">
        <f>SUM(D111*1.8)</f>
        <v>18</v>
      </c>
      <c r="E113" s="136"/>
      <c r="F113" s="62"/>
      <c r="G113" s="29"/>
      <c r="H113" s="29">
        <v>1.03</v>
      </c>
      <c r="I113" s="146">
        <f>ROUND(G113*$I$1,2)</f>
        <v>0</v>
      </c>
      <c r="J113" s="147">
        <f t="shared" si="47"/>
        <v>1.03</v>
      </c>
      <c r="K113" s="148">
        <f t="shared" si="48"/>
        <v>0</v>
      </c>
      <c r="L113" s="148">
        <f t="shared" si="49"/>
        <v>0</v>
      </c>
      <c r="M113" s="148">
        <f t="shared" si="50"/>
        <v>18.54</v>
      </c>
      <c r="N113" s="148">
        <f t="shared" si="51"/>
        <v>0</v>
      </c>
      <c r="O113" s="148">
        <f t="shared" si="52"/>
        <v>18.54</v>
      </c>
    </row>
    <row r="114" spans="1:15" s="9" customFormat="1" ht="15" customHeight="1">
      <c r="A114" s="70" t="s">
        <v>393</v>
      </c>
      <c r="B114" s="22" t="s">
        <v>127</v>
      </c>
      <c r="C114" s="85" t="s">
        <v>124</v>
      </c>
      <c r="D114" s="86">
        <v>10</v>
      </c>
      <c r="E114" s="138">
        <v>0.3</v>
      </c>
      <c r="F114" s="133">
        <f>$F$1</f>
        <v>3.8</v>
      </c>
      <c r="G114" s="133">
        <f>ROUND(E114*F114,2)</f>
        <v>1.14</v>
      </c>
      <c r="H114" s="133"/>
      <c r="I114" s="133">
        <f>ROUND(G114*$I$1,2)+0.2</f>
        <v>0.29</v>
      </c>
      <c r="J114" s="134">
        <f t="shared" si="47"/>
        <v>1.43</v>
      </c>
      <c r="K114" s="135">
        <f t="shared" si="48"/>
        <v>3</v>
      </c>
      <c r="L114" s="135">
        <f t="shared" si="49"/>
        <v>11.4</v>
      </c>
      <c r="M114" s="135">
        <f t="shared" si="50"/>
        <v>0</v>
      </c>
      <c r="N114" s="135">
        <f t="shared" si="51"/>
        <v>2.9</v>
      </c>
      <c r="O114" s="135">
        <f t="shared" si="52"/>
        <v>14.3</v>
      </c>
    </row>
    <row r="115" spans="1:15" s="9" customFormat="1" ht="15" customHeight="1">
      <c r="A115" s="70" t="s">
        <v>394</v>
      </c>
      <c r="B115" s="47" t="s">
        <v>75</v>
      </c>
      <c r="C115" s="16" t="s">
        <v>128</v>
      </c>
      <c r="D115" s="88">
        <f>SUM(D114*1.03)</f>
        <v>10.3</v>
      </c>
      <c r="E115" s="136"/>
      <c r="F115" s="62"/>
      <c r="G115" s="29"/>
      <c r="H115" s="29">
        <v>3.31</v>
      </c>
      <c r="I115" s="146">
        <f>ROUND(G115*$I$1,2)</f>
        <v>0</v>
      </c>
      <c r="J115" s="147">
        <f t="shared" si="47"/>
        <v>3.31</v>
      </c>
      <c r="K115" s="148">
        <f t="shared" si="48"/>
        <v>0</v>
      </c>
      <c r="L115" s="148">
        <f t="shared" si="49"/>
        <v>0</v>
      </c>
      <c r="M115" s="148">
        <f t="shared" si="50"/>
        <v>34.09</v>
      </c>
      <c r="N115" s="148">
        <f t="shared" si="51"/>
        <v>0</v>
      </c>
      <c r="O115" s="148">
        <f t="shared" si="52"/>
        <v>34.09</v>
      </c>
    </row>
    <row r="116" spans="1:15" s="9" customFormat="1" ht="15" customHeight="1">
      <c r="A116" s="70" t="s">
        <v>395</v>
      </c>
      <c r="B116" s="47" t="s">
        <v>0</v>
      </c>
      <c r="C116" s="16" t="s">
        <v>46</v>
      </c>
      <c r="D116" s="88">
        <v>1</v>
      </c>
      <c r="E116" s="136"/>
      <c r="F116" s="62"/>
      <c r="G116" s="29"/>
      <c r="H116" s="29">
        <v>1.6</v>
      </c>
      <c r="I116" s="146">
        <f>ROUND(G116*$I$1,2)</f>
        <v>0</v>
      </c>
      <c r="J116" s="147">
        <f t="shared" si="47"/>
        <v>1.6</v>
      </c>
      <c r="K116" s="148">
        <f t="shared" si="48"/>
        <v>0</v>
      </c>
      <c r="L116" s="148">
        <f t="shared" si="49"/>
        <v>0</v>
      </c>
      <c r="M116" s="148">
        <f t="shared" si="50"/>
        <v>1.6</v>
      </c>
      <c r="N116" s="148">
        <f t="shared" si="51"/>
        <v>0</v>
      </c>
      <c r="O116" s="148">
        <f t="shared" si="52"/>
        <v>1.6</v>
      </c>
    </row>
    <row r="117" spans="1:15" s="9" customFormat="1" ht="15" customHeight="1">
      <c r="A117" s="70" t="s">
        <v>396</v>
      </c>
      <c r="B117" s="22" t="s">
        <v>129</v>
      </c>
      <c r="C117" s="85" t="s">
        <v>124</v>
      </c>
      <c r="D117" s="86">
        <v>10</v>
      </c>
      <c r="E117" s="138">
        <v>0.6</v>
      </c>
      <c r="F117" s="133">
        <f aca="true" t="shared" si="53" ref="F117:F125">$F$1</f>
        <v>3.8</v>
      </c>
      <c r="G117" s="133">
        <f>ROUND(E117*F117,2)</f>
        <v>2.28</v>
      </c>
      <c r="H117" s="133"/>
      <c r="I117" s="133">
        <f>ROUND(G117*$I$1,2)+0.2</f>
        <v>0.38</v>
      </c>
      <c r="J117" s="134">
        <f t="shared" si="47"/>
        <v>2.66</v>
      </c>
      <c r="K117" s="135">
        <f t="shared" si="48"/>
        <v>6</v>
      </c>
      <c r="L117" s="135">
        <f t="shared" si="49"/>
        <v>22.8</v>
      </c>
      <c r="M117" s="135">
        <f t="shared" si="50"/>
        <v>0</v>
      </c>
      <c r="N117" s="135">
        <f t="shared" si="51"/>
        <v>3.8</v>
      </c>
      <c r="O117" s="135">
        <f t="shared" si="52"/>
        <v>26.6</v>
      </c>
    </row>
    <row r="118" spans="1:15" s="9" customFormat="1" ht="15" customHeight="1">
      <c r="A118" s="70" t="s">
        <v>397</v>
      </c>
      <c r="B118" s="87" t="s">
        <v>45</v>
      </c>
      <c r="C118" s="16" t="s">
        <v>13</v>
      </c>
      <c r="D118" s="81">
        <f>SUM(D117*0.05)*1.04</f>
        <v>0.52</v>
      </c>
      <c r="E118" s="136"/>
      <c r="F118" s="62"/>
      <c r="G118" s="29"/>
      <c r="H118" s="29">
        <v>45</v>
      </c>
      <c r="I118" s="146">
        <f aca="true" t="shared" si="54" ref="I118:I126">ROUND(G118*$I$1,2)</f>
        <v>0</v>
      </c>
      <c r="J118" s="147">
        <f t="shared" si="47"/>
        <v>45</v>
      </c>
      <c r="K118" s="148">
        <f t="shared" si="48"/>
        <v>0</v>
      </c>
      <c r="L118" s="148">
        <f t="shared" si="49"/>
        <v>0</v>
      </c>
      <c r="M118" s="148">
        <f t="shared" si="50"/>
        <v>23.4</v>
      </c>
      <c r="N118" s="148">
        <f t="shared" si="51"/>
        <v>0</v>
      </c>
      <c r="O118" s="148">
        <f t="shared" si="52"/>
        <v>23.4</v>
      </c>
    </row>
    <row r="119" spans="1:15" s="9" customFormat="1" ht="38.25">
      <c r="A119" s="70" t="s">
        <v>398</v>
      </c>
      <c r="B119" s="22" t="s">
        <v>266</v>
      </c>
      <c r="C119" s="73" t="s">
        <v>76</v>
      </c>
      <c r="D119" s="86">
        <v>30</v>
      </c>
      <c r="E119" s="138">
        <v>0.75</v>
      </c>
      <c r="F119" s="133">
        <f t="shared" si="53"/>
        <v>3.8</v>
      </c>
      <c r="G119" s="133">
        <f>ROUND(E119*F119,2)</f>
        <v>2.85</v>
      </c>
      <c r="H119" s="133"/>
      <c r="I119" s="133">
        <f t="shared" si="54"/>
        <v>0.23</v>
      </c>
      <c r="J119" s="134">
        <f t="shared" si="47"/>
        <v>3.08</v>
      </c>
      <c r="K119" s="135">
        <f t="shared" si="48"/>
        <v>22.5</v>
      </c>
      <c r="L119" s="135">
        <f t="shared" si="49"/>
        <v>85.5</v>
      </c>
      <c r="M119" s="135">
        <f t="shared" si="50"/>
        <v>0</v>
      </c>
      <c r="N119" s="135">
        <f t="shared" si="51"/>
        <v>6.9</v>
      </c>
      <c r="O119" s="135">
        <f t="shared" si="52"/>
        <v>92.4</v>
      </c>
    </row>
    <row r="120" spans="1:15" s="9" customFormat="1" ht="15" customHeight="1">
      <c r="A120" s="70" t="s">
        <v>399</v>
      </c>
      <c r="B120" s="12" t="s">
        <v>267</v>
      </c>
      <c r="C120" s="16" t="s">
        <v>41</v>
      </c>
      <c r="D120" s="81">
        <f>0.9*10*D119</f>
        <v>270</v>
      </c>
      <c r="E120" s="136"/>
      <c r="F120" s="62"/>
      <c r="G120" s="29"/>
      <c r="H120" s="29">
        <v>0.075</v>
      </c>
      <c r="I120" s="146">
        <f t="shared" si="54"/>
        <v>0</v>
      </c>
      <c r="J120" s="147">
        <f t="shared" si="47"/>
        <v>0.08</v>
      </c>
      <c r="K120" s="148">
        <f t="shared" si="48"/>
        <v>0</v>
      </c>
      <c r="L120" s="148">
        <f t="shared" si="49"/>
        <v>0</v>
      </c>
      <c r="M120" s="148">
        <f t="shared" si="50"/>
        <v>20.25</v>
      </c>
      <c r="N120" s="148">
        <f t="shared" si="51"/>
        <v>0</v>
      </c>
      <c r="O120" s="148">
        <f t="shared" si="52"/>
        <v>20.25</v>
      </c>
    </row>
    <row r="121" spans="1:15" s="140" customFormat="1" ht="25.5">
      <c r="A121" s="70" t="s">
        <v>400</v>
      </c>
      <c r="B121" s="22" t="s">
        <v>130</v>
      </c>
      <c r="C121" s="152" t="s">
        <v>43</v>
      </c>
      <c r="D121" s="152">
        <v>10</v>
      </c>
      <c r="E121" s="138">
        <v>0.23</v>
      </c>
      <c r="F121" s="133">
        <f t="shared" si="53"/>
        <v>3.8</v>
      </c>
      <c r="G121" s="133">
        <f>ROUND(E121*F121,2)</f>
        <v>0.87</v>
      </c>
      <c r="H121" s="133"/>
      <c r="I121" s="133">
        <f t="shared" si="54"/>
        <v>0.07</v>
      </c>
      <c r="J121" s="134">
        <f t="shared" si="47"/>
        <v>0.94</v>
      </c>
      <c r="K121" s="135">
        <f t="shared" si="48"/>
        <v>2.3</v>
      </c>
      <c r="L121" s="135">
        <f t="shared" si="49"/>
        <v>8.7</v>
      </c>
      <c r="M121" s="135">
        <f t="shared" si="50"/>
        <v>0</v>
      </c>
      <c r="N121" s="135">
        <f t="shared" si="51"/>
        <v>0.7</v>
      </c>
      <c r="O121" s="135">
        <f t="shared" si="52"/>
        <v>9.4</v>
      </c>
    </row>
    <row r="122" spans="1:15" s="9" customFormat="1" ht="15" customHeight="1">
      <c r="A122" s="70" t="s">
        <v>401</v>
      </c>
      <c r="B122" s="89" t="s">
        <v>268</v>
      </c>
      <c r="C122" s="16" t="s">
        <v>74</v>
      </c>
      <c r="D122" s="81">
        <v>5</v>
      </c>
      <c r="E122" s="136"/>
      <c r="F122" s="62"/>
      <c r="G122" s="29"/>
      <c r="H122" s="29">
        <v>6.5</v>
      </c>
      <c r="I122" s="146">
        <f t="shared" si="54"/>
        <v>0</v>
      </c>
      <c r="J122" s="147">
        <f t="shared" si="47"/>
        <v>6.5</v>
      </c>
      <c r="K122" s="148">
        <f t="shared" si="48"/>
        <v>0</v>
      </c>
      <c r="L122" s="148">
        <f t="shared" si="49"/>
        <v>0</v>
      </c>
      <c r="M122" s="148">
        <f t="shared" si="50"/>
        <v>32.5</v>
      </c>
      <c r="N122" s="148">
        <f t="shared" si="51"/>
        <v>0</v>
      </c>
      <c r="O122" s="148">
        <f t="shared" si="52"/>
        <v>32.5</v>
      </c>
    </row>
    <row r="123" spans="1:15" s="9" customFormat="1" ht="38.25">
      <c r="A123" s="70" t="s">
        <v>402</v>
      </c>
      <c r="B123" s="22" t="s">
        <v>269</v>
      </c>
      <c r="C123" s="73" t="s">
        <v>76</v>
      </c>
      <c r="D123" s="86">
        <v>5</v>
      </c>
      <c r="E123" s="138">
        <v>0.79</v>
      </c>
      <c r="F123" s="133">
        <f t="shared" si="53"/>
        <v>3.8</v>
      </c>
      <c r="G123" s="133">
        <f>ROUND(E123*F123,2)</f>
        <v>3</v>
      </c>
      <c r="H123" s="133"/>
      <c r="I123" s="133">
        <f t="shared" si="54"/>
        <v>0.24</v>
      </c>
      <c r="J123" s="134">
        <f t="shared" si="47"/>
        <v>3.24</v>
      </c>
      <c r="K123" s="135">
        <f t="shared" si="48"/>
        <v>3.95</v>
      </c>
      <c r="L123" s="135">
        <f t="shared" si="49"/>
        <v>15</v>
      </c>
      <c r="M123" s="135">
        <f t="shared" si="50"/>
        <v>0</v>
      </c>
      <c r="N123" s="135">
        <f t="shared" si="51"/>
        <v>1.2</v>
      </c>
      <c r="O123" s="135">
        <f t="shared" si="52"/>
        <v>16.2</v>
      </c>
    </row>
    <row r="124" spans="1:15" s="9" customFormat="1" ht="25.5">
      <c r="A124" s="70" t="s">
        <v>403</v>
      </c>
      <c r="B124" s="12" t="s">
        <v>270</v>
      </c>
      <c r="C124" s="16" t="s">
        <v>41</v>
      </c>
      <c r="D124" s="81">
        <f>0.9*5*D123</f>
        <v>22.5</v>
      </c>
      <c r="E124" s="136"/>
      <c r="F124" s="62"/>
      <c r="G124" s="29"/>
      <c r="H124" s="29">
        <v>0.075</v>
      </c>
      <c r="I124" s="146">
        <f t="shared" si="54"/>
        <v>0</v>
      </c>
      <c r="J124" s="147">
        <f t="shared" si="47"/>
        <v>0.08</v>
      </c>
      <c r="K124" s="148">
        <f t="shared" si="48"/>
        <v>0</v>
      </c>
      <c r="L124" s="148">
        <f t="shared" si="49"/>
        <v>0</v>
      </c>
      <c r="M124" s="148">
        <f t="shared" si="50"/>
        <v>1.69</v>
      </c>
      <c r="N124" s="148">
        <f t="shared" si="51"/>
        <v>0</v>
      </c>
      <c r="O124" s="148">
        <f t="shared" si="52"/>
        <v>1.69</v>
      </c>
    </row>
    <row r="125" spans="1:15" s="9" customFormat="1" ht="25.5">
      <c r="A125" s="70" t="s">
        <v>404</v>
      </c>
      <c r="B125" s="22" t="s">
        <v>271</v>
      </c>
      <c r="C125" s="73" t="s">
        <v>76</v>
      </c>
      <c r="D125" s="86">
        <v>1.8</v>
      </c>
      <c r="E125" s="138">
        <v>0.8</v>
      </c>
      <c r="F125" s="133">
        <f t="shared" si="53"/>
        <v>3.8</v>
      </c>
      <c r="G125" s="133">
        <f>ROUND(E125*F125,2)</f>
        <v>3.04</v>
      </c>
      <c r="H125" s="133"/>
      <c r="I125" s="133">
        <f t="shared" si="54"/>
        <v>0.24</v>
      </c>
      <c r="J125" s="134">
        <f t="shared" si="47"/>
        <v>3.28</v>
      </c>
      <c r="K125" s="135">
        <f t="shared" si="48"/>
        <v>1.44</v>
      </c>
      <c r="L125" s="135">
        <f t="shared" si="49"/>
        <v>5.47</v>
      </c>
      <c r="M125" s="135">
        <f t="shared" si="50"/>
        <v>0</v>
      </c>
      <c r="N125" s="135">
        <f t="shared" si="51"/>
        <v>0.43</v>
      </c>
      <c r="O125" s="135">
        <f t="shared" si="52"/>
        <v>5.9</v>
      </c>
    </row>
    <row r="126" spans="1:15" s="9" customFormat="1" ht="26.25" thickBot="1">
      <c r="A126" s="70" t="s">
        <v>405</v>
      </c>
      <c r="B126" s="90" t="s">
        <v>272</v>
      </c>
      <c r="C126" s="91" t="s">
        <v>15</v>
      </c>
      <c r="D126" s="92">
        <v>1</v>
      </c>
      <c r="E126" s="136"/>
      <c r="F126" s="62"/>
      <c r="G126" s="29"/>
      <c r="H126" s="29">
        <v>7.01</v>
      </c>
      <c r="I126" s="146">
        <f t="shared" si="54"/>
        <v>0</v>
      </c>
      <c r="J126" s="147">
        <f t="shared" si="47"/>
        <v>7.01</v>
      </c>
      <c r="K126" s="148">
        <f t="shared" si="48"/>
        <v>0</v>
      </c>
      <c r="L126" s="148">
        <f t="shared" si="49"/>
        <v>0</v>
      </c>
      <c r="M126" s="148">
        <f t="shared" si="50"/>
        <v>7.01</v>
      </c>
      <c r="N126" s="148">
        <f t="shared" si="51"/>
        <v>0</v>
      </c>
      <c r="O126" s="148">
        <f t="shared" si="52"/>
        <v>7.01</v>
      </c>
    </row>
    <row r="127" spans="1:15" s="9" customFormat="1" ht="15" customHeight="1" thickBot="1">
      <c r="A127" s="354" t="s">
        <v>273</v>
      </c>
      <c r="B127" s="355"/>
      <c r="C127" s="355"/>
      <c r="D127" s="355"/>
      <c r="E127" s="355"/>
      <c r="F127" s="355"/>
      <c r="G127" s="355"/>
      <c r="H127" s="355"/>
      <c r="I127" s="355"/>
      <c r="J127" s="356"/>
      <c r="K127" s="29"/>
      <c r="L127" s="29"/>
      <c r="M127" s="29"/>
      <c r="N127" s="29"/>
      <c r="O127" s="29"/>
    </row>
    <row r="128" spans="1:15" s="9" customFormat="1" ht="12.75">
      <c r="A128" s="70" t="s">
        <v>406</v>
      </c>
      <c r="B128" s="82" t="s">
        <v>275</v>
      </c>
      <c r="C128" s="83" t="s">
        <v>43</v>
      </c>
      <c r="D128" s="83">
        <v>60</v>
      </c>
      <c r="E128" s="138">
        <v>0.35</v>
      </c>
      <c r="F128" s="133">
        <f>$F$1</f>
        <v>3.8</v>
      </c>
      <c r="G128" s="133">
        <f>ROUND(E128*F128,2)</f>
        <v>1.33</v>
      </c>
      <c r="H128" s="133"/>
      <c r="I128" s="133">
        <f aca="true" t="shared" si="55" ref="I128:I141">ROUND(G128*$I$1,2)</f>
        <v>0.11</v>
      </c>
      <c r="J128" s="134">
        <f aca="true" t="shared" si="56" ref="J128:J141">SUM(G128:I128)</f>
        <v>1.44</v>
      </c>
      <c r="K128" s="135">
        <f aca="true" t="shared" si="57" ref="K128:K141">ROUND(D128*E128,2)</f>
        <v>21</v>
      </c>
      <c r="L128" s="135">
        <f aca="true" t="shared" si="58" ref="L128:L141">ROUND(D128*G128,2)</f>
        <v>79.8</v>
      </c>
      <c r="M128" s="135">
        <f aca="true" t="shared" si="59" ref="M128:M141">ROUND(D128*H128,2)</f>
        <v>0</v>
      </c>
      <c r="N128" s="135">
        <f aca="true" t="shared" si="60" ref="N128:N141">ROUND(I128*D128,2)</f>
        <v>6.6</v>
      </c>
      <c r="O128" s="135">
        <f aca="true" t="shared" si="61" ref="O128:O141">SUM(L128:N128)</f>
        <v>86.4</v>
      </c>
    </row>
    <row r="129" spans="1:15" s="9" customFormat="1" ht="25.5">
      <c r="A129" s="70" t="s">
        <v>407</v>
      </c>
      <c r="B129" s="90" t="s">
        <v>276</v>
      </c>
      <c r="C129" s="91" t="s">
        <v>41</v>
      </c>
      <c r="D129" s="92">
        <f>D128*0.4</f>
        <v>24</v>
      </c>
      <c r="E129" s="136"/>
      <c r="F129" s="62"/>
      <c r="G129" s="29"/>
      <c r="H129" s="29">
        <v>0.59</v>
      </c>
      <c r="I129" s="146">
        <f t="shared" si="55"/>
        <v>0</v>
      </c>
      <c r="J129" s="147">
        <f t="shared" si="56"/>
        <v>0.59</v>
      </c>
      <c r="K129" s="148">
        <f t="shared" si="57"/>
        <v>0</v>
      </c>
      <c r="L129" s="148">
        <f t="shared" si="58"/>
        <v>0</v>
      </c>
      <c r="M129" s="148">
        <f t="shared" si="59"/>
        <v>14.16</v>
      </c>
      <c r="N129" s="148">
        <f t="shared" si="60"/>
        <v>0</v>
      </c>
      <c r="O129" s="148">
        <f t="shared" si="61"/>
        <v>14.16</v>
      </c>
    </row>
    <row r="130" spans="1:15" s="9" customFormat="1" ht="25.5">
      <c r="A130" s="70" t="s">
        <v>408</v>
      </c>
      <c r="B130" s="22" t="s">
        <v>274</v>
      </c>
      <c r="C130" s="73" t="s">
        <v>243</v>
      </c>
      <c r="D130" s="86">
        <v>7</v>
      </c>
      <c r="E130" s="138">
        <v>0.82</v>
      </c>
      <c r="F130" s="133">
        <f>$F$1</f>
        <v>3.8</v>
      </c>
      <c r="G130" s="133">
        <f>ROUND(E130*F130,2)</f>
        <v>3.12</v>
      </c>
      <c r="H130" s="133"/>
      <c r="I130" s="133">
        <f t="shared" si="55"/>
        <v>0.25</v>
      </c>
      <c r="J130" s="134">
        <f t="shared" si="56"/>
        <v>3.37</v>
      </c>
      <c r="K130" s="135">
        <f t="shared" si="57"/>
        <v>5.74</v>
      </c>
      <c r="L130" s="135">
        <f t="shared" si="58"/>
        <v>21.84</v>
      </c>
      <c r="M130" s="135">
        <f t="shared" si="59"/>
        <v>0</v>
      </c>
      <c r="N130" s="135">
        <f t="shared" si="60"/>
        <v>1.75</v>
      </c>
      <c r="O130" s="135">
        <f t="shared" si="61"/>
        <v>23.59</v>
      </c>
    </row>
    <row r="131" spans="1:15" s="9" customFormat="1" ht="15" customHeight="1">
      <c r="A131" s="70" t="s">
        <v>409</v>
      </c>
      <c r="B131" s="12" t="s">
        <v>131</v>
      </c>
      <c r="C131" s="16" t="s">
        <v>44</v>
      </c>
      <c r="D131" s="81">
        <v>0.565</v>
      </c>
      <c r="E131" s="136"/>
      <c r="F131" s="62"/>
      <c r="G131" s="29"/>
      <c r="H131" s="29">
        <v>160</v>
      </c>
      <c r="I131" s="146">
        <f t="shared" si="55"/>
        <v>0</v>
      </c>
      <c r="J131" s="147">
        <f t="shared" si="56"/>
        <v>160</v>
      </c>
      <c r="K131" s="148">
        <f t="shared" si="57"/>
        <v>0</v>
      </c>
      <c r="L131" s="148">
        <f t="shared" si="58"/>
        <v>0</v>
      </c>
      <c r="M131" s="148">
        <f t="shared" si="59"/>
        <v>90.4</v>
      </c>
      <c r="N131" s="148">
        <f t="shared" si="60"/>
        <v>0</v>
      </c>
      <c r="O131" s="148">
        <f t="shared" si="61"/>
        <v>90.4</v>
      </c>
    </row>
    <row r="132" spans="1:15" s="9" customFormat="1" ht="15" customHeight="1">
      <c r="A132" s="70" t="s">
        <v>410</v>
      </c>
      <c r="B132" s="12" t="s">
        <v>132</v>
      </c>
      <c r="C132" s="16" t="s">
        <v>44</v>
      </c>
      <c r="D132" s="93">
        <v>0.708</v>
      </c>
      <c r="E132" s="136"/>
      <c r="F132" s="62"/>
      <c r="G132" s="29"/>
      <c r="H132" s="29">
        <v>160</v>
      </c>
      <c r="I132" s="146">
        <f t="shared" si="55"/>
        <v>0</v>
      </c>
      <c r="J132" s="147">
        <f t="shared" si="56"/>
        <v>160</v>
      </c>
      <c r="K132" s="148">
        <f t="shared" si="57"/>
        <v>0</v>
      </c>
      <c r="L132" s="148">
        <f t="shared" si="58"/>
        <v>0</v>
      </c>
      <c r="M132" s="148">
        <f t="shared" si="59"/>
        <v>113.28</v>
      </c>
      <c r="N132" s="148">
        <f t="shared" si="60"/>
        <v>0</v>
      </c>
      <c r="O132" s="148">
        <f t="shared" si="61"/>
        <v>113.28</v>
      </c>
    </row>
    <row r="133" spans="1:15" s="9" customFormat="1" ht="15" customHeight="1">
      <c r="A133" s="70" t="s">
        <v>411</v>
      </c>
      <c r="B133" s="47" t="s">
        <v>0</v>
      </c>
      <c r="C133" s="16" t="s">
        <v>243</v>
      </c>
      <c r="D133" s="94">
        <v>1</v>
      </c>
      <c r="E133" s="137"/>
      <c r="F133" s="62"/>
      <c r="G133" s="29"/>
      <c r="H133" s="29">
        <v>25</v>
      </c>
      <c r="I133" s="146">
        <f t="shared" si="55"/>
        <v>0</v>
      </c>
      <c r="J133" s="147">
        <f t="shared" si="56"/>
        <v>25</v>
      </c>
      <c r="K133" s="148">
        <f t="shared" si="57"/>
        <v>0</v>
      </c>
      <c r="L133" s="148">
        <f t="shared" si="58"/>
        <v>0</v>
      </c>
      <c r="M133" s="148">
        <f t="shared" si="59"/>
        <v>25</v>
      </c>
      <c r="N133" s="148">
        <f t="shared" si="60"/>
        <v>0</v>
      </c>
      <c r="O133" s="148">
        <f t="shared" si="61"/>
        <v>25</v>
      </c>
    </row>
    <row r="134" spans="1:15" s="9" customFormat="1" ht="15" customHeight="1">
      <c r="A134" s="70" t="s">
        <v>412</v>
      </c>
      <c r="B134" s="75" t="s">
        <v>133</v>
      </c>
      <c r="C134" s="73" t="s">
        <v>36</v>
      </c>
      <c r="D134" s="86">
        <v>17</v>
      </c>
      <c r="E134" s="138">
        <v>0.75</v>
      </c>
      <c r="F134" s="133">
        <f>$F$1</f>
        <v>3.8</v>
      </c>
      <c r="G134" s="133">
        <f>ROUND(E134*F134,2)</f>
        <v>2.85</v>
      </c>
      <c r="H134" s="133"/>
      <c r="I134" s="133">
        <f t="shared" si="55"/>
        <v>0.23</v>
      </c>
      <c r="J134" s="134">
        <f t="shared" si="56"/>
        <v>3.08</v>
      </c>
      <c r="K134" s="135">
        <f t="shared" si="57"/>
        <v>12.75</v>
      </c>
      <c r="L134" s="135">
        <f t="shared" si="58"/>
        <v>48.45</v>
      </c>
      <c r="M134" s="135">
        <f t="shared" si="59"/>
        <v>0</v>
      </c>
      <c r="N134" s="135">
        <f t="shared" si="60"/>
        <v>3.91</v>
      </c>
      <c r="O134" s="135">
        <f t="shared" si="61"/>
        <v>52.36</v>
      </c>
    </row>
    <row r="135" spans="1:15" s="9" customFormat="1" ht="15" customHeight="1">
      <c r="A135" s="70" t="s">
        <v>413</v>
      </c>
      <c r="B135" s="12" t="s">
        <v>134</v>
      </c>
      <c r="C135" s="16" t="s">
        <v>44</v>
      </c>
      <c r="D135" s="93">
        <f>0.1625*1.1</f>
        <v>0.179</v>
      </c>
      <c r="E135" s="136"/>
      <c r="F135" s="62"/>
      <c r="G135" s="29"/>
      <c r="H135" s="29">
        <v>145</v>
      </c>
      <c r="I135" s="146">
        <f t="shared" si="55"/>
        <v>0</v>
      </c>
      <c r="J135" s="147">
        <f t="shared" si="56"/>
        <v>145</v>
      </c>
      <c r="K135" s="148">
        <f t="shared" si="57"/>
        <v>0</v>
      </c>
      <c r="L135" s="148">
        <f t="shared" si="58"/>
        <v>0</v>
      </c>
      <c r="M135" s="148">
        <f t="shared" si="59"/>
        <v>25.96</v>
      </c>
      <c r="N135" s="148">
        <f t="shared" si="60"/>
        <v>0</v>
      </c>
      <c r="O135" s="148">
        <f t="shared" si="61"/>
        <v>25.96</v>
      </c>
    </row>
    <row r="136" spans="1:15" s="9" customFormat="1" ht="15" customHeight="1">
      <c r="A136" s="70" t="s">
        <v>414</v>
      </c>
      <c r="B136" s="12" t="s">
        <v>277</v>
      </c>
      <c r="C136" s="16" t="s">
        <v>243</v>
      </c>
      <c r="D136" s="81">
        <v>1</v>
      </c>
      <c r="E136" s="136"/>
      <c r="F136" s="62"/>
      <c r="G136" s="29"/>
      <c r="H136" s="29">
        <v>15</v>
      </c>
      <c r="I136" s="146">
        <f t="shared" si="55"/>
        <v>0</v>
      </c>
      <c r="J136" s="147">
        <f t="shared" si="56"/>
        <v>15</v>
      </c>
      <c r="K136" s="148">
        <f t="shared" si="57"/>
        <v>0</v>
      </c>
      <c r="L136" s="148">
        <f t="shared" si="58"/>
        <v>0</v>
      </c>
      <c r="M136" s="148">
        <f t="shared" si="59"/>
        <v>15</v>
      </c>
      <c r="N136" s="148">
        <f t="shared" si="60"/>
        <v>0</v>
      </c>
      <c r="O136" s="148">
        <f t="shared" si="61"/>
        <v>15</v>
      </c>
    </row>
    <row r="137" spans="1:15" s="9" customFormat="1" ht="15" customHeight="1">
      <c r="A137" s="70" t="s">
        <v>415</v>
      </c>
      <c r="B137" s="75" t="s">
        <v>135</v>
      </c>
      <c r="C137" s="73" t="s">
        <v>36</v>
      </c>
      <c r="D137" s="73">
        <v>17</v>
      </c>
      <c r="E137" s="138">
        <v>0.75</v>
      </c>
      <c r="F137" s="133">
        <f>$F$1</f>
        <v>3.8</v>
      </c>
      <c r="G137" s="133">
        <f>ROUND(E137*F137,2)</f>
        <v>2.85</v>
      </c>
      <c r="H137" s="133"/>
      <c r="I137" s="133">
        <f t="shared" si="55"/>
        <v>0.23</v>
      </c>
      <c r="J137" s="134">
        <f t="shared" si="56"/>
        <v>3.08</v>
      </c>
      <c r="K137" s="135">
        <f t="shared" si="57"/>
        <v>12.75</v>
      </c>
      <c r="L137" s="135">
        <f t="shared" si="58"/>
        <v>48.45</v>
      </c>
      <c r="M137" s="135">
        <f t="shared" si="59"/>
        <v>0</v>
      </c>
      <c r="N137" s="135">
        <f t="shared" si="60"/>
        <v>3.91</v>
      </c>
      <c r="O137" s="135">
        <f t="shared" si="61"/>
        <v>52.36</v>
      </c>
    </row>
    <row r="138" spans="1:15" s="9" customFormat="1" ht="15" customHeight="1">
      <c r="A138" s="70" t="s">
        <v>416</v>
      </c>
      <c r="B138" s="12" t="s">
        <v>77</v>
      </c>
      <c r="C138" s="16" t="s">
        <v>44</v>
      </c>
      <c r="D138" s="93">
        <v>0.18</v>
      </c>
      <c r="E138" s="137"/>
      <c r="F138" s="62"/>
      <c r="G138" s="29"/>
      <c r="H138" s="29">
        <v>145</v>
      </c>
      <c r="I138" s="146">
        <f t="shared" si="55"/>
        <v>0</v>
      </c>
      <c r="J138" s="147">
        <f t="shared" si="56"/>
        <v>145</v>
      </c>
      <c r="K138" s="148">
        <f t="shared" si="57"/>
        <v>0</v>
      </c>
      <c r="L138" s="148">
        <f t="shared" si="58"/>
        <v>0</v>
      </c>
      <c r="M138" s="148">
        <f t="shared" si="59"/>
        <v>26.1</v>
      </c>
      <c r="N138" s="148">
        <f t="shared" si="60"/>
        <v>0</v>
      </c>
      <c r="O138" s="148">
        <f t="shared" si="61"/>
        <v>26.1</v>
      </c>
    </row>
    <row r="139" spans="1:15" s="9" customFormat="1" ht="15" customHeight="1">
      <c r="A139" s="70" t="s">
        <v>417</v>
      </c>
      <c r="B139" s="12" t="s">
        <v>277</v>
      </c>
      <c r="C139" s="16" t="s">
        <v>243</v>
      </c>
      <c r="D139" s="81">
        <v>1</v>
      </c>
      <c r="E139" s="136"/>
      <c r="F139" s="62"/>
      <c r="G139" s="29"/>
      <c r="H139" s="29">
        <v>15</v>
      </c>
      <c r="I139" s="146">
        <f t="shared" si="55"/>
        <v>0</v>
      </c>
      <c r="J139" s="147">
        <f t="shared" si="56"/>
        <v>15</v>
      </c>
      <c r="K139" s="148">
        <f t="shared" si="57"/>
        <v>0</v>
      </c>
      <c r="L139" s="148">
        <f t="shared" si="58"/>
        <v>0</v>
      </c>
      <c r="M139" s="148">
        <f t="shared" si="59"/>
        <v>15</v>
      </c>
      <c r="N139" s="148">
        <f t="shared" si="60"/>
        <v>0</v>
      </c>
      <c r="O139" s="148">
        <f t="shared" si="61"/>
        <v>15</v>
      </c>
    </row>
    <row r="140" spans="1:15" s="9" customFormat="1" ht="15" customHeight="1">
      <c r="A140" s="70" t="s">
        <v>418</v>
      </c>
      <c r="B140" s="75" t="s">
        <v>278</v>
      </c>
      <c r="C140" s="85" t="s">
        <v>43</v>
      </c>
      <c r="D140" s="153">
        <v>30</v>
      </c>
      <c r="E140" s="138">
        <v>0.35</v>
      </c>
      <c r="F140" s="133">
        <f>$F$1</f>
        <v>3.8</v>
      </c>
      <c r="G140" s="133">
        <f>ROUND(E140*F140,2)</f>
        <v>1.33</v>
      </c>
      <c r="H140" s="133"/>
      <c r="I140" s="133">
        <f t="shared" si="55"/>
        <v>0.11</v>
      </c>
      <c r="J140" s="134">
        <f t="shared" si="56"/>
        <v>1.44</v>
      </c>
      <c r="K140" s="135">
        <f t="shared" si="57"/>
        <v>10.5</v>
      </c>
      <c r="L140" s="135">
        <f t="shared" si="58"/>
        <v>39.9</v>
      </c>
      <c r="M140" s="135">
        <f t="shared" si="59"/>
        <v>0</v>
      </c>
      <c r="N140" s="135">
        <f t="shared" si="60"/>
        <v>3.3</v>
      </c>
      <c r="O140" s="135">
        <f t="shared" si="61"/>
        <v>43.2</v>
      </c>
    </row>
    <row r="141" spans="1:15" s="9" customFormat="1" ht="26.25" thickBot="1">
      <c r="A141" s="70" t="s">
        <v>419</v>
      </c>
      <c r="B141" s="90" t="s">
        <v>276</v>
      </c>
      <c r="C141" s="91" t="s">
        <v>41</v>
      </c>
      <c r="D141" s="92">
        <f>0.4*D140</f>
        <v>12</v>
      </c>
      <c r="E141" s="137"/>
      <c r="F141" s="63"/>
      <c r="G141" s="57"/>
      <c r="H141" s="57">
        <v>0.59</v>
      </c>
      <c r="I141" s="146">
        <f t="shared" si="55"/>
        <v>0</v>
      </c>
      <c r="J141" s="147">
        <f t="shared" si="56"/>
        <v>0.59</v>
      </c>
      <c r="K141" s="148">
        <f t="shared" si="57"/>
        <v>0</v>
      </c>
      <c r="L141" s="148">
        <f t="shared" si="58"/>
        <v>0</v>
      </c>
      <c r="M141" s="148">
        <f t="shared" si="59"/>
        <v>7.08</v>
      </c>
      <c r="N141" s="148">
        <f t="shared" si="60"/>
        <v>0</v>
      </c>
      <c r="O141" s="148">
        <f t="shared" si="61"/>
        <v>7.08</v>
      </c>
    </row>
    <row r="142" spans="1:15" ht="15.75" customHeight="1" thickBot="1">
      <c r="A142" s="354" t="s">
        <v>279</v>
      </c>
      <c r="B142" s="355"/>
      <c r="C142" s="355"/>
      <c r="D142" s="355"/>
      <c r="E142" s="355"/>
      <c r="F142" s="355"/>
      <c r="G142" s="355"/>
      <c r="H142" s="355"/>
      <c r="I142" s="355"/>
      <c r="J142" s="356"/>
      <c r="K142" s="48"/>
      <c r="L142" s="48"/>
      <c r="M142" s="48"/>
      <c r="N142" s="48"/>
      <c r="O142" s="48"/>
    </row>
    <row r="143" spans="1:15" s="15" customFormat="1" ht="51">
      <c r="A143" s="65" t="s">
        <v>420</v>
      </c>
      <c r="B143" s="95" t="s">
        <v>280</v>
      </c>
      <c r="C143" s="83" t="s">
        <v>44</v>
      </c>
      <c r="D143" s="83">
        <v>2.9</v>
      </c>
      <c r="E143" s="155">
        <v>7.5</v>
      </c>
      <c r="F143" s="133">
        <f>$F$1</f>
        <v>3.8</v>
      </c>
      <c r="G143" s="133">
        <f>ROUND(E143*F143,2)</f>
        <v>28.5</v>
      </c>
      <c r="H143" s="133"/>
      <c r="I143" s="133">
        <f aca="true" t="shared" si="62" ref="I143:I159">ROUND(G143*$I$1,2)</f>
        <v>2.28</v>
      </c>
      <c r="J143" s="134">
        <f aca="true" t="shared" si="63" ref="J143:J159">SUM(G143:I143)</f>
        <v>30.78</v>
      </c>
      <c r="K143" s="135">
        <f aca="true" t="shared" si="64" ref="K143:K159">ROUND(D143*E143,2)</f>
        <v>21.75</v>
      </c>
      <c r="L143" s="135">
        <f aca="true" t="shared" si="65" ref="L143:L159">ROUND(D143*G143,2)</f>
        <v>82.65</v>
      </c>
      <c r="M143" s="135">
        <f aca="true" t="shared" si="66" ref="M143:M159">ROUND(D143*H143,2)</f>
        <v>0</v>
      </c>
      <c r="N143" s="135">
        <f aca="true" t="shared" si="67" ref="N143:N159">ROUND(I143*D143,2)</f>
        <v>6.61</v>
      </c>
      <c r="O143" s="135">
        <f aca="true" t="shared" si="68" ref="O143:O159">SUM(L143:N143)</f>
        <v>89.26</v>
      </c>
    </row>
    <row r="144" spans="1:15" ht="25.5">
      <c r="A144" s="65" t="s">
        <v>421</v>
      </c>
      <c r="B144" s="12" t="s">
        <v>78</v>
      </c>
      <c r="C144" s="16" t="s">
        <v>43</v>
      </c>
      <c r="D144" s="96">
        <v>10</v>
      </c>
      <c r="E144" s="154"/>
      <c r="F144" s="154"/>
      <c r="G144" s="154"/>
      <c r="H144" s="154">
        <v>8.5</v>
      </c>
      <c r="I144" s="147">
        <f t="shared" si="62"/>
        <v>0</v>
      </c>
      <c r="J144" s="147">
        <f t="shared" si="63"/>
        <v>8.5</v>
      </c>
      <c r="K144" s="148">
        <f t="shared" si="64"/>
        <v>0</v>
      </c>
      <c r="L144" s="148">
        <f t="shared" si="65"/>
        <v>0</v>
      </c>
      <c r="M144" s="148">
        <f t="shared" si="66"/>
        <v>85</v>
      </c>
      <c r="N144" s="148">
        <f t="shared" si="67"/>
        <v>0</v>
      </c>
      <c r="O144" s="148">
        <f t="shared" si="68"/>
        <v>85</v>
      </c>
    </row>
    <row r="145" spans="1:15" s="15" customFormat="1" ht="12.75">
      <c r="A145" s="65" t="s">
        <v>422</v>
      </c>
      <c r="B145" s="12" t="s">
        <v>79</v>
      </c>
      <c r="C145" s="16" t="s">
        <v>44</v>
      </c>
      <c r="D145" s="96">
        <f>D143*1.1</f>
        <v>3.19</v>
      </c>
      <c r="E145" s="154"/>
      <c r="F145" s="154"/>
      <c r="G145" s="154"/>
      <c r="H145" s="154">
        <v>9.5</v>
      </c>
      <c r="I145" s="147">
        <f t="shared" si="62"/>
        <v>0</v>
      </c>
      <c r="J145" s="147">
        <f t="shared" si="63"/>
        <v>9.5</v>
      </c>
      <c r="K145" s="148">
        <f t="shared" si="64"/>
        <v>0</v>
      </c>
      <c r="L145" s="148">
        <f t="shared" si="65"/>
        <v>0</v>
      </c>
      <c r="M145" s="148">
        <f t="shared" si="66"/>
        <v>30.31</v>
      </c>
      <c r="N145" s="148">
        <f t="shared" si="67"/>
        <v>0</v>
      </c>
      <c r="O145" s="148">
        <f t="shared" si="68"/>
        <v>30.31</v>
      </c>
    </row>
    <row r="146" spans="1:15" ht="12.75">
      <c r="A146" s="65" t="s">
        <v>423</v>
      </c>
      <c r="B146" s="12" t="s">
        <v>0</v>
      </c>
      <c r="C146" s="16" t="s">
        <v>46</v>
      </c>
      <c r="D146" s="96">
        <v>1</v>
      </c>
      <c r="E146" s="154"/>
      <c r="F146" s="154"/>
      <c r="G146" s="154"/>
      <c r="H146" s="154">
        <v>10.5</v>
      </c>
      <c r="I146" s="147">
        <f t="shared" si="62"/>
        <v>0</v>
      </c>
      <c r="J146" s="147">
        <f t="shared" si="63"/>
        <v>10.5</v>
      </c>
      <c r="K146" s="148">
        <f t="shared" si="64"/>
        <v>0</v>
      </c>
      <c r="L146" s="148">
        <f t="shared" si="65"/>
        <v>0</v>
      </c>
      <c r="M146" s="148">
        <f t="shared" si="66"/>
        <v>10.5</v>
      </c>
      <c r="N146" s="148">
        <f t="shared" si="67"/>
        <v>0</v>
      </c>
      <c r="O146" s="148">
        <f t="shared" si="68"/>
        <v>10.5</v>
      </c>
    </row>
    <row r="147" spans="1:15" ht="25.5">
      <c r="A147" s="65" t="s">
        <v>424</v>
      </c>
      <c r="B147" s="75" t="s">
        <v>284</v>
      </c>
      <c r="C147" s="73" t="s">
        <v>36</v>
      </c>
      <c r="D147" s="86">
        <f>SUM(D148:D149)</f>
        <v>286</v>
      </c>
      <c r="E147" s="155">
        <v>0.04</v>
      </c>
      <c r="F147" s="133">
        <f>$F$1</f>
        <v>3.8</v>
      </c>
      <c r="G147" s="133">
        <f>ROUND(E147*F147,2)</f>
        <v>0.15</v>
      </c>
      <c r="H147" s="133"/>
      <c r="I147" s="133">
        <f t="shared" si="62"/>
        <v>0.01</v>
      </c>
      <c r="J147" s="134">
        <f t="shared" si="63"/>
        <v>0.16</v>
      </c>
      <c r="K147" s="135">
        <f t="shared" si="64"/>
        <v>11.44</v>
      </c>
      <c r="L147" s="135">
        <f t="shared" si="65"/>
        <v>42.9</v>
      </c>
      <c r="M147" s="135">
        <f t="shared" si="66"/>
        <v>0</v>
      </c>
      <c r="N147" s="135">
        <f t="shared" si="67"/>
        <v>2.86</v>
      </c>
      <c r="O147" s="135">
        <f t="shared" si="68"/>
        <v>45.76</v>
      </c>
    </row>
    <row r="148" spans="1:15" ht="14.25" customHeight="1">
      <c r="A148" s="65" t="s">
        <v>425</v>
      </c>
      <c r="B148" s="12" t="s">
        <v>281</v>
      </c>
      <c r="C148" s="96" t="s">
        <v>41</v>
      </c>
      <c r="D148" s="96">
        <v>121</v>
      </c>
      <c r="E148" s="154"/>
      <c r="F148" s="154"/>
      <c r="G148" s="154"/>
      <c r="H148" s="154">
        <v>0.7</v>
      </c>
      <c r="I148" s="147">
        <f t="shared" si="62"/>
        <v>0</v>
      </c>
      <c r="J148" s="147">
        <f t="shared" si="63"/>
        <v>0.7</v>
      </c>
      <c r="K148" s="148">
        <f t="shared" si="64"/>
        <v>0</v>
      </c>
      <c r="L148" s="148">
        <f t="shared" si="65"/>
        <v>0</v>
      </c>
      <c r="M148" s="148">
        <f t="shared" si="66"/>
        <v>84.7</v>
      </c>
      <c r="N148" s="148">
        <f t="shared" si="67"/>
        <v>0</v>
      </c>
      <c r="O148" s="148">
        <f t="shared" si="68"/>
        <v>84.7</v>
      </c>
    </row>
    <row r="149" spans="1:15" ht="12.75">
      <c r="A149" s="65" t="s">
        <v>426</v>
      </c>
      <c r="B149" s="12" t="s">
        <v>282</v>
      </c>
      <c r="C149" s="96" t="s">
        <v>41</v>
      </c>
      <c r="D149" s="96">
        <v>165</v>
      </c>
      <c r="E149" s="154"/>
      <c r="F149" s="154"/>
      <c r="G149" s="154"/>
      <c r="H149" s="154">
        <v>0.7</v>
      </c>
      <c r="I149" s="147">
        <f t="shared" si="62"/>
        <v>0</v>
      </c>
      <c r="J149" s="147">
        <f t="shared" si="63"/>
        <v>0.7</v>
      </c>
      <c r="K149" s="148">
        <f t="shared" si="64"/>
        <v>0</v>
      </c>
      <c r="L149" s="148">
        <f t="shared" si="65"/>
        <v>0</v>
      </c>
      <c r="M149" s="148">
        <f t="shared" si="66"/>
        <v>115.5</v>
      </c>
      <c r="N149" s="148">
        <f t="shared" si="67"/>
        <v>0</v>
      </c>
      <c r="O149" s="148">
        <f t="shared" si="68"/>
        <v>115.5</v>
      </c>
    </row>
    <row r="150" spans="1:15" ht="25.5">
      <c r="A150" s="65" t="s">
        <v>427</v>
      </c>
      <c r="B150" s="11" t="s">
        <v>283</v>
      </c>
      <c r="C150" s="73" t="s">
        <v>243</v>
      </c>
      <c r="D150" s="73">
        <v>4</v>
      </c>
      <c r="E150" s="155">
        <v>0.52</v>
      </c>
      <c r="F150" s="133">
        <f>$F$1</f>
        <v>3.8</v>
      </c>
      <c r="G150" s="133">
        <f>ROUND(E150*F150,2)</f>
        <v>1.98</v>
      </c>
      <c r="H150" s="133"/>
      <c r="I150" s="133">
        <f t="shared" si="62"/>
        <v>0.16</v>
      </c>
      <c r="J150" s="134">
        <f t="shared" si="63"/>
        <v>2.14</v>
      </c>
      <c r="K150" s="135">
        <f t="shared" si="64"/>
        <v>2.08</v>
      </c>
      <c r="L150" s="135">
        <f t="shared" si="65"/>
        <v>7.92</v>
      </c>
      <c r="M150" s="135">
        <f t="shared" si="66"/>
        <v>0</v>
      </c>
      <c r="N150" s="135">
        <f t="shared" si="67"/>
        <v>0.64</v>
      </c>
      <c r="O150" s="135">
        <f t="shared" si="68"/>
        <v>8.56</v>
      </c>
    </row>
    <row r="151" spans="1:15" ht="12.75">
      <c r="A151" s="65" t="s">
        <v>428</v>
      </c>
      <c r="B151" s="12" t="s">
        <v>50</v>
      </c>
      <c r="C151" s="72" t="s">
        <v>36</v>
      </c>
      <c r="D151" s="97">
        <v>2.4</v>
      </c>
      <c r="E151" s="154"/>
      <c r="F151" s="154"/>
      <c r="G151" s="154"/>
      <c r="H151" s="154">
        <v>16.79</v>
      </c>
      <c r="I151" s="147">
        <f t="shared" si="62"/>
        <v>0</v>
      </c>
      <c r="J151" s="147">
        <f t="shared" si="63"/>
        <v>16.79</v>
      </c>
      <c r="K151" s="148">
        <f t="shared" si="64"/>
        <v>0</v>
      </c>
      <c r="L151" s="148">
        <f t="shared" si="65"/>
        <v>0</v>
      </c>
      <c r="M151" s="148">
        <f t="shared" si="66"/>
        <v>40.3</v>
      </c>
      <c r="N151" s="148">
        <f t="shared" si="67"/>
        <v>0</v>
      </c>
      <c r="O151" s="148">
        <f t="shared" si="68"/>
        <v>40.3</v>
      </c>
    </row>
    <row r="152" spans="1:15" ht="12.75">
      <c r="A152" s="65" t="s">
        <v>429</v>
      </c>
      <c r="B152" s="12" t="s">
        <v>80</v>
      </c>
      <c r="C152" s="72" t="s">
        <v>34</v>
      </c>
      <c r="D152" s="72">
        <v>4</v>
      </c>
      <c r="E152" s="154"/>
      <c r="F152" s="154"/>
      <c r="G152" s="154"/>
      <c r="H152" s="154">
        <v>16.54</v>
      </c>
      <c r="I152" s="147">
        <f t="shared" si="62"/>
        <v>0</v>
      </c>
      <c r="J152" s="147">
        <f t="shared" si="63"/>
        <v>16.54</v>
      </c>
      <c r="K152" s="148">
        <f t="shared" si="64"/>
        <v>0</v>
      </c>
      <c r="L152" s="148">
        <f t="shared" si="65"/>
        <v>0</v>
      </c>
      <c r="M152" s="148">
        <f t="shared" si="66"/>
        <v>66.16</v>
      </c>
      <c r="N152" s="148">
        <f t="shared" si="67"/>
        <v>0</v>
      </c>
      <c r="O152" s="148">
        <f t="shared" si="68"/>
        <v>66.16</v>
      </c>
    </row>
    <row r="153" spans="1:15" ht="12.75">
      <c r="A153" s="65" t="s">
        <v>430</v>
      </c>
      <c r="B153" s="12" t="s">
        <v>52</v>
      </c>
      <c r="C153" s="72" t="s">
        <v>34</v>
      </c>
      <c r="D153" s="98">
        <v>4</v>
      </c>
      <c r="E153" s="154"/>
      <c r="F153" s="154"/>
      <c r="G153" s="154"/>
      <c r="H153" s="154">
        <v>16.54</v>
      </c>
      <c r="I153" s="147">
        <f t="shared" si="62"/>
        <v>0</v>
      </c>
      <c r="J153" s="147">
        <f t="shared" si="63"/>
        <v>16.54</v>
      </c>
      <c r="K153" s="148">
        <f t="shared" si="64"/>
        <v>0</v>
      </c>
      <c r="L153" s="148">
        <f t="shared" si="65"/>
        <v>0</v>
      </c>
      <c r="M153" s="148">
        <f t="shared" si="66"/>
        <v>66.16</v>
      </c>
      <c r="N153" s="148">
        <f t="shared" si="67"/>
        <v>0</v>
      </c>
      <c r="O153" s="148">
        <f t="shared" si="68"/>
        <v>66.16</v>
      </c>
    </row>
    <row r="154" spans="1:15" ht="12.75">
      <c r="A154" s="65" t="s">
        <v>431</v>
      </c>
      <c r="B154" s="12" t="s">
        <v>81</v>
      </c>
      <c r="C154" s="72" t="s">
        <v>34</v>
      </c>
      <c r="D154" s="99">
        <v>4</v>
      </c>
      <c r="E154" s="154"/>
      <c r="F154" s="154"/>
      <c r="G154" s="154"/>
      <c r="H154" s="154">
        <v>16.54</v>
      </c>
      <c r="I154" s="147">
        <f t="shared" si="62"/>
        <v>0</v>
      </c>
      <c r="J154" s="147">
        <f t="shared" si="63"/>
        <v>16.54</v>
      </c>
      <c r="K154" s="148">
        <f t="shared" si="64"/>
        <v>0</v>
      </c>
      <c r="L154" s="148">
        <f t="shared" si="65"/>
        <v>0</v>
      </c>
      <c r="M154" s="148">
        <f t="shared" si="66"/>
        <v>66.16</v>
      </c>
      <c r="N154" s="148">
        <f t="shared" si="67"/>
        <v>0</v>
      </c>
      <c r="O154" s="148">
        <f t="shared" si="68"/>
        <v>66.16</v>
      </c>
    </row>
    <row r="155" spans="1:15" ht="12.75">
      <c r="A155" s="65" t="s">
        <v>432</v>
      </c>
      <c r="B155" s="11" t="s">
        <v>136</v>
      </c>
      <c r="C155" s="73" t="s">
        <v>43</v>
      </c>
      <c r="D155" s="86">
        <v>10</v>
      </c>
      <c r="E155" s="155">
        <v>5.28</v>
      </c>
      <c r="F155" s="133">
        <f>$F$1</f>
        <v>3.8</v>
      </c>
      <c r="G155" s="133">
        <f>ROUND(E155*F155,2)</f>
        <v>20.06</v>
      </c>
      <c r="H155" s="133"/>
      <c r="I155" s="133">
        <f t="shared" si="62"/>
        <v>1.6</v>
      </c>
      <c r="J155" s="134">
        <f t="shared" si="63"/>
        <v>21.66</v>
      </c>
      <c r="K155" s="135">
        <f t="shared" si="64"/>
        <v>52.8</v>
      </c>
      <c r="L155" s="135">
        <f t="shared" si="65"/>
        <v>200.6</v>
      </c>
      <c r="M155" s="135">
        <f t="shared" si="66"/>
        <v>0</v>
      </c>
      <c r="N155" s="135">
        <f t="shared" si="67"/>
        <v>16</v>
      </c>
      <c r="O155" s="135">
        <f t="shared" si="68"/>
        <v>216.6</v>
      </c>
    </row>
    <row r="156" spans="1:15" ht="25.5">
      <c r="A156" s="65" t="s">
        <v>433</v>
      </c>
      <c r="B156" s="12" t="s">
        <v>285</v>
      </c>
      <c r="C156" s="72" t="s">
        <v>41</v>
      </c>
      <c r="D156" s="72">
        <v>51</v>
      </c>
      <c r="E156" s="154"/>
      <c r="F156" s="154"/>
      <c r="G156" s="154"/>
      <c r="H156" s="154">
        <v>0.33</v>
      </c>
      <c r="I156" s="147">
        <f t="shared" si="62"/>
        <v>0</v>
      </c>
      <c r="J156" s="147">
        <f t="shared" si="63"/>
        <v>0.33</v>
      </c>
      <c r="K156" s="148">
        <f t="shared" si="64"/>
        <v>0</v>
      </c>
      <c r="L156" s="148">
        <f t="shared" si="65"/>
        <v>0</v>
      </c>
      <c r="M156" s="148">
        <f t="shared" si="66"/>
        <v>16.83</v>
      </c>
      <c r="N156" s="148">
        <f t="shared" si="67"/>
        <v>0</v>
      </c>
      <c r="O156" s="148">
        <f t="shared" si="68"/>
        <v>16.83</v>
      </c>
    </row>
    <row r="157" spans="1:15" ht="12.75">
      <c r="A157" s="65" t="s">
        <v>434</v>
      </c>
      <c r="B157" s="12" t="s">
        <v>82</v>
      </c>
      <c r="C157" s="72" t="s">
        <v>41</v>
      </c>
      <c r="D157" s="100">
        <v>30</v>
      </c>
      <c r="E157" s="154"/>
      <c r="F157" s="154"/>
      <c r="G157" s="154"/>
      <c r="H157" s="154">
        <v>1.9</v>
      </c>
      <c r="I157" s="147">
        <f t="shared" si="62"/>
        <v>0</v>
      </c>
      <c r="J157" s="147">
        <f t="shared" si="63"/>
        <v>1.9</v>
      </c>
      <c r="K157" s="148">
        <f t="shared" si="64"/>
        <v>0</v>
      </c>
      <c r="L157" s="148">
        <f t="shared" si="65"/>
        <v>0</v>
      </c>
      <c r="M157" s="148">
        <f t="shared" si="66"/>
        <v>57</v>
      </c>
      <c r="N157" s="148">
        <f t="shared" si="67"/>
        <v>0</v>
      </c>
      <c r="O157" s="148">
        <f t="shared" si="68"/>
        <v>57</v>
      </c>
    </row>
    <row r="158" spans="1:15" ht="12.75">
      <c r="A158" s="65" t="s">
        <v>435</v>
      </c>
      <c r="B158" s="12" t="s">
        <v>51</v>
      </c>
      <c r="C158" s="72" t="s">
        <v>36</v>
      </c>
      <c r="D158" s="97">
        <v>0.63</v>
      </c>
      <c r="E158" s="154"/>
      <c r="F158" s="154"/>
      <c r="G158" s="154"/>
      <c r="H158" s="154">
        <v>4.95</v>
      </c>
      <c r="I158" s="147">
        <f t="shared" si="62"/>
        <v>0</v>
      </c>
      <c r="J158" s="147">
        <f t="shared" si="63"/>
        <v>4.95</v>
      </c>
      <c r="K158" s="148">
        <f t="shared" si="64"/>
        <v>0</v>
      </c>
      <c r="L158" s="148">
        <f t="shared" si="65"/>
        <v>0</v>
      </c>
      <c r="M158" s="148">
        <f t="shared" si="66"/>
        <v>3.12</v>
      </c>
      <c r="N158" s="148">
        <f t="shared" si="67"/>
        <v>0</v>
      </c>
      <c r="O158" s="148">
        <f t="shared" si="68"/>
        <v>3.12</v>
      </c>
    </row>
    <row r="159" spans="1:15" ht="13.5" thickBot="1">
      <c r="A159" s="65" t="s">
        <v>436</v>
      </c>
      <c r="B159" s="101" t="s">
        <v>53</v>
      </c>
      <c r="C159" s="102" t="s">
        <v>34</v>
      </c>
      <c r="D159" s="103">
        <v>2</v>
      </c>
      <c r="E159" s="154"/>
      <c r="F159" s="154"/>
      <c r="G159" s="154"/>
      <c r="H159" s="154">
        <v>5.96</v>
      </c>
      <c r="I159" s="147">
        <f t="shared" si="62"/>
        <v>0</v>
      </c>
      <c r="J159" s="147">
        <f t="shared" si="63"/>
        <v>5.96</v>
      </c>
      <c r="K159" s="148">
        <f t="shared" si="64"/>
        <v>0</v>
      </c>
      <c r="L159" s="148">
        <f t="shared" si="65"/>
        <v>0</v>
      </c>
      <c r="M159" s="148">
        <f t="shared" si="66"/>
        <v>11.92</v>
      </c>
      <c r="N159" s="148">
        <f t="shared" si="67"/>
        <v>0</v>
      </c>
      <c r="O159" s="148">
        <f t="shared" si="68"/>
        <v>11.92</v>
      </c>
    </row>
    <row r="160" spans="1:10" ht="15.75" thickBot="1">
      <c r="A160" s="354" t="s">
        <v>286</v>
      </c>
      <c r="B160" s="355"/>
      <c r="C160" s="355"/>
      <c r="D160" s="355"/>
      <c r="E160" s="355"/>
      <c r="F160" s="355"/>
      <c r="G160" s="355"/>
      <c r="H160" s="355"/>
      <c r="I160" s="355"/>
      <c r="J160" s="356"/>
    </row>
    <row r="161" spans="1:15" ht="25.5">
      <c r="A161" s="65" t="s">
        <v>437</v>
      </c>
      <c r="B161" s="31" t="s">
        <v>287</v>
      </c>
      <c r="C161" s="40" t="s">
        <v>43</v>
      </c>
      <c r="D161" s="40">
        <v>9</v>
      </c>
      <c r="E161" s="155">
        <v>0.36</v>
      </c>
      <c r="F161" s="45">
        <f>$F$1</f>
        <v>3.8</v>
      </c>
      <c r="G161" s="45">
        <f>ROUND(E161*F161,2)</f>
        <v>1.37</v>
      </c>
      <c r="H161" s="45"/>
      <c r="I161" s="45">
        <f aca="true" t="shared" si="69" ref="I161:I173">ROUND(G161*$I$1,2)</f>
        <v>0.11</v>
      </c>
      <c r="J161" s="135">
        <f aca="true" t="shared" si="70" ref="J161:J173">SUM(G161:I161)</f>
        <v>1.48</v>
      </c>
      <c r="K161" s="135">
        <f aca="true" t="shared" si="71" ref="K161:K173">ROUND(D161*E161,2)</f>
        <v>3.24</v>
      </c>
      <c r="L161" s="135">
        <f aca="true" t="shared" si="72" ref="L161:L173">ROUND(D161*G161,2)</f>
        <v>12.33</v>
      </c>
      <c r="M161" s="135">
        <f aca="true" t="shared" si="73" ref="M161:M173">ROUND(D161*H161,2)</f>
        <v>0</v>
      </c>
      <c r="N161" s="135">
        <f aca="true" t="shared" si="74" ref="N161:N173">ROUND(I161*D161,2)</f>
        <v>0.99</v>
      </c>
      <c r="O161" s="135">
        <f aca="true" t="shared" si="75" ref="O161:O173">SUM(L161:N161)</f>
        <v>13.32</v>
      </c>
    </row>
    <row r="162" spans="1:15" ht="12.75">
      <c r="A162" s="65" t="s">
        <v>438</v>
      </c>
      <c r="B162" s="89" t="s">
        <v>289</v>
      </c>
      <c r="C162" s="32" t="s">
        <v>41</v>
      </c>
      <c r="D162" s="32">
        <f>D161*0.3</f>
        <v>2.7</v>
      </c>
      <c r="E162" s="154"/>
      <c r="F162" s="154"/>
      <c r="G162" s="154"/>
      <c r="H162" s="154">
        <v>9.2</v>
      </c>
      <c r="I162" s="147">
        <f t="shared" si="69"/>
        <v>0</v>
      </c>
      <c r="J162" s="147">
        <f t="shared" si="70"/>
        <v>9.2</v>
      </c>
      <c r="K162" s="148">
        <f t="shared" si="71"/>
        <v>0</v>
      </c>
      <c r="L162" s="148">
        <f t="shared" si="72"/>
        <v>0</v>
      </c>
      <c r="M162" s="148">
        <f t="shared" si="73"/>
        <v>24.84</v>
      </c>
      <c r="N162" s="148">
        <f t="shared" si="74"/>
        <v>0</v>
      </c>
      <c r="O162" s="148">
        <f t="shared" si="75"/>
        <v>24.84</v>
      </c>
    </row>
    <row r="163" spans="1:15" ht="12.75">
      <c r="A163" s="65" t="s">
        <v>439</v>
      </c>
      <c r="B163" s="89" t="s">
        <v>288</v>
      </c>
      <c r="C163" s="156" t="s">
        <v>41</v>
      </c>
      <c r="D163" s="32">
        <v>2.7</v>
      </c>
      <c r="E163" s="154"/>
      <c r="F163" s="157"/>
      <c r="G163" s="157"/>
      <c r="H163" s="157">
        <v>4.3</v>
      </c>
      <c r="I163" s="147">
        <f t="shared" si="69"/>
        <v>0</v>
      </c>
      <c r="J163" s="147">
        <f t="shared" si="70"/>
        <v>4.3</v>
      </c>
      <c r="K163" s="148">
        <f t="shared" si="71"/>
        <v>0</v>
      </c>
      <c r="L163" s="148">
        <f t="shared" si="72"/>
        <v>0</v>
      </c>
      <c r="M163" s="148">
        <f t="shared" si="73"/>
        <v>11.61</v>
      </c>
      <c r="N163" s="148">
        <f t="shared" si="74"/>
        <v>0</v>
      </c>
      <c r="O163" s="148">
        <f t="shared" si="75"/>
        <v>11.61</v>
      </c>
    </row>
    <row r="164" spans="1:15" ht="51">
      <c r="A164" s="65" t="s">
        <v>440</v>
      </c>
      <c r="B164" s="21" t="s">
        <v>290</v>
      </c>
      <c r="C164" s="104" t="s">
        <v>9</v>
      </c>
      <c r="D164" s="105">
        <v>1.25</v>
      </c>
      <c r="E164" s="155">
        <v>22</v>
      </c>
      <c r="F164" s="133">
        <f>$F$1</f>
        <v>3.8</v>
      </c>
      <c r="G164" s="133">
        <f>ROUND(E164*F164,2)</f>
        <v>83.6</v>
      </c>
      <c r="H164" s="133"/>
      <c r="I164" s="133">
        <f t="shared" si="69"/>
        <v>6.69</v>
      </c>
      <c r="J164" s="134">
        <f t="shared" si="70"/>
        <v>90.29</v>
      </c>
      <c r="K164" s="135">
        <f t="shared" si="71"/>
        <v>27.5</v>
      </c>
      <c r="L164" s="135">
        <f t="shared" si="72"/>
        <v>104.5</v>
      </c>
      <c r="M164" s="135">
        <f t="shared" si="73"/>
        <v>0</v>
      </c>
      <c r="N164" s="135">
        <f t="shared" si="74"/>
        <v>8.36</v>
      </c>
      <c r="O164" s="135">
        <f t="shared" si="75"/>
        <v>112.86</v>
      </c>
    </row>
    <row r="165" spans="1:15" ht="12.75">
      <c r="A165" s="65" t="s">
        <v>441</v>
      </c>
      <c r="B165" s="89" t="s">
        <v>83</v>
      </c>
      <c r="C165" s="106" t="s">
        <v>9</v>
      </c>
      <c r="D165" s="97">
        <f>ROUND(1.05*D164,2)</f>
        <v>1.31</v>
      </c>
      <c r="E165" s="154"/>
      <c r="F165" s="154"/>
      <c r="G165" s="154"/>
      <c r="H165" s="154">
        <v>710</v>
      </c>
      <c r="I165" s="147">
        <f t="shared" si="69"/>
        <v>0</v>
      </c>
      <c r="J165" s="147">
        <f t="shared" si="70"/>
        <v>710</v>
      </c>
      <c r="K165" s="148">
        <f t="shared" si="71"/>
        <v>0</v>
      </c>
      <c r="L165" s="148">
        <f t="shared" si="72"/>
        <v>0</v>
      </c>
      <c r="M165" s="148">
        <f t="shared" si="73"/>
        <v>930.1</v>
      </c>
      <c r="N165" s="148">
        <f t="shared" si="74"/>
        <v>0</v>
      </c>
      <c r="O165" s="148">
        <f t="shared" si="75"/>
        <v>930.1</v>
      </c>
    </row>
    <row r="166" spans="1:15" ht="12.75">
      <c r="A166" s="65" t="s">
        <v>442</v>
      </c>
      <c r="B166" s="89" t="s">
        <v>84</v>
      </c>
      <c r="C166" s="106" t="s">
        <v>85</v>
      </c>
      <c r="D166" s="97">
        <f>0.5*D164</f>
        <v>0.625</v>
      </c>
      <c r="E166" s="154"/>
      <c r="F166" s="154"/>
      <c r="G166" s="154"/>
      <c r="H166" s="154">
        <v>15.2</v>
      </c>
      <c r="I166" s="147">
        <f t="shared" si="69"/>
        <v>0</v>
      </c>
      <c r="J166" s="147">
        <f t="shared" si="70"/>
        <v>15.2</v>
      </c>
      <c r="K166" s="148">
        <f t="shared" si="71"/>
        <v>0</v>
      </c>
      <c r="L166" s="148">
        <f t="shared" si="72"/>
        <v>0</v>
      </c>
      <c r="M166" s="148">
        <f t="shared" si="73"/>
        <v>9.5</v>
      </c>
      <c r="N166" s="148">
        <f t="shared" si="74"/>
        <v>0</v>
      </c>
      <c r="O166" s="148">
        <f t="shared" si="75"/>
        <v>9.5</v>
      </c>
    </row>
    <row r="167" spans="1:15" ht="12.75">
      <c r="A167" s="65" t="s">
        <v>443</v>
      </c>
      <c r="B167" s="89" t="s">
        <v>291</v>
      </c>
      <c r="C167" s="16" t="s">
        <v>44</v>
      </c>
      <c r="D167" s="97">
        <v>0.72</v>
      </c>
      <c r="E167" s="154"/>
      <c r="F167" s="154"/>
      <c r="G167" s="154"/>
      <c r="H167" s="154">
        <v>46</v>
      </c>
      <c r="I167" s="147">
        <f t="shared" si="69"/>
        <v>0</v>
      </c>
      <c r="J167" s="147">
        <f t="shared" si="70"/>
        <v>46</v>
      </c>
      <c r="K167" s="148">
        <f t="shared" si="71"/>
        <v>0</v>
      </c>
      <c r="L167" s="148">
        <f t="shared" si="72"/>
        <v>0</v>
      </c>
      <c r="M167" s="148">
        <f t="shared" si="73"/>
        <v>33.12</v>
      </c>
      <c r="N167" s="148">
        <f t="shared" si="74"/>
        <v>0</v>
      </c>
      <c r="O167" s="148">
        <f t="shared" si="75"/>
        <v>33.12</v>
      </c>
    </row>
    <row r="168" spans="1:15" ht="12.75">
      <c r="A168" s="65" t="s">
        <v>444</v>
      </c>
      <c r="B168" s="89" t="s">
        <v>86</v>
      </c>
      <c r="C168" s="91" t="s">
        <v>44</v>
      </c>
      <c r="D168" s="97">
        <v>1.58</v>
      </c>
      <c r="E168" s="154"/>
      <c r="F168" s="154"/>
      <c r="G168" s="154"/>
      <c r="H168" s="154">
        <v>57.25</v>
      </c>
      <c r="I168" s="147">
        <f t="shared" si="69"/>
        <v>0</v>
      </c>
      <c r="J168" s="147">
        <f t="shared" si="70"/>
        <v>57.25</v>
      </c>
      <c r="K168" s="148">
        <f t="shared" si="71"/>
        <v>0</v>
      </c>
      <c r="L168" s="148">
        <f t="shared" si="72"/>
        <v>0</v>
      </c>
      <c r="M168" s="148">
        <f t="shared" si="73"/>
        <v>90.46</v>
      </c>
      <c r="N168" s="148">
        <f t="shared" si="74"/>
        <v>0</v>
      </c>
      <c r="O168" s="148">
        <f t="shared" si="75"/>
        <v>90.46</v>
      </c>
    </row>
    <row r="169" spans="1:15" ht="25.5">
      <c r="A169" s="65" t="s">
        <v>445</v>
      </c>
      <c r="B169" s="21" t="s">
        <v>293</v>
      </c>
      <c r="C169" s="104" t="s">
        <v>43</v>
      </c>
      <c r="D169" s="105">
        <v>55.6</v>
      </c>
      <c r="E169" s="155">
        <v>0.21</v>
      </c>
      <c r="F169" s="133">
        <f>$F$1</f>
        <v>3.8</v>
      </c>
      <c r="G169" s="133">
        <f>ROUND(E169*F169,2)</f>
        <v>0.8</v>
      </c>
      <c r="H169" s="133"/>
      <c r="I169" s="133">
        <f t="shared" si="69"/>
        <v>0.06</v>
      </c>
      <c r="J169" s="134">
        <f t="shared" si="70"/>
        <v>0.86</v>
      </c>
      <c r="K169" s="135">
        <f t="shared" si="71"/>
        <v>11.68</v>
      </c>
      <c r="L169" s="135">
        <f t="shared" si="72"/>
        <v>44.48</v>
      </c>
      <c r="M169" s="135">
        <f t="shared" si="73"/>
        <v>0</v>
      </c>
      <c r="N169" s="135">
        <f t="shared" si="74"/>
        <v>3.34</v>
      </c>
      <c r="O169" s="135">
        <f t="shared" si="75"/>
        <v>47.82</v>
      </c>
    </row>
    <row r="170" spans="1:15" ht="12.75">
      <c r="A170" s="65" t="s">
        <v>446</v>
      </c>
      <c r="B170" s="89" t="s">
        <v>292</v>
      </c>
      <c r="C170" s="106" t="s">
        <v>44</v>
      </c>
      <c r="D170" s="97">
        <f>D169*0.04*1.1</f>
        <v>2.4464</v>
      </c>
      <c r="E170" s="154"/>
      <c r="F170" s="154"/>
      <c r="G170" s="154"/>
      <c r="H170" s="154">
        <v>160</v>
      </c>
      <c r="I170" s="147">
        <f t="shared" si="69"/>
        <v>0</v>
      </c>
      <c r="J170" s="147">
        <f t="shared" si="70"/>
        <v>160</v>
      </c>
      <c r="K170" s="148">
        <f t="shared" si="71"/>
        <v>0</v>
      </c>
      <c r="L170" s="148">
        <f t="shared" si="72"/>
        <v>0</v>
      </c>
      <c r="M170" s="148">
        <f t="shared" si="73"/>
        <v>391.42</v>
      </c>
      <c r="N170" s="148">
        <f t="shared" si="74"/>
        <v>0</v>
      </c>
      <c r="O170" s="148">
        <f t="shared" si="75"/>
        <v>391.42</v>
      </c>
    </row>
    <row r="171" spans="1:15" ht="25.5">
      <c r="A171" s="65" t="s">
        <v>447</v>
      </c>
      <c r="B171" s="89" t="s">
        <v>294</v>
      </c>
      <c r="C171" s="106" t="s">
        <v>243</v>
      </c>
      <c r="D171" s="97">
        <v>1</v>
      </c>
      <c r="E171" s="154"/>
      <c r="F171" s="154"/>
      <c r="G171" s="154"/>
      <c r="H171" s="154">
        <v>35</v>
      </c>
      <c r="I171" s="147">
        <f t="shared" si="69"/>
        <v>0</v>
      </c>
      <c r="J171" s="147">
        <f t="shared" si="70"/>
        <v>35</v>
      </c>
      <c r="K171" s="148">
        <f t="shared" si="71"/>
        <v>0</v>
      </c>
      <c r="L171" s="148">
        <f t="shared" si="72"/>
        <v>0</v>
      </c>
      <c r="M171" s="148">
        <f t="shared" si="73"/>
        <v>35</v>
      </c>
      <c r="N171" s="148">
        <f t="shared" si="74"/>
        <v>0</v>
      </c>
      <c r="O171" s="148">
        <f t="shared" si="75"/>
        <v>35</v>
      </c>
    </row>
    <row r="172" spans="1:15" ht="25.5">
      <c r="A172" s="65" t="s">
        <v>448</v>
      </c>
      <c r="B172" s="21" t="s">
        <v>295</v>
      </c>
      <c r="C172" s="107" t="s">
        <v>137</v>
      </c>
      <c r="D172" s="105">
        <f>55.6*2</f>
        <v>111.2</v>
      </c>
      <c r="E172" s="155">
        <v>0.35</v>
      </c>
      <c r="F172" s="133">
        <f>$F$1</f>
        <v>3.8</v>
      </c>
      <c r="G172" s="133">
        <f>ROUND(E172*F172,2)</f>
        <v>1.33</v>
      </c>
      <c r="H172" s="133"/>
      <c r="I172" s="133">
        <f t="shared" si="69"/>
        <v>0.11</v>
      </c>
      <c r="J172" s="134">
        <f t="shared" si="70"/>
        <v>1.44</v>
      </c>
      <c r="K172" s="135">
        <f t="shared" si="71"/>
        <v>38.92</v>
      </c>
      <c r="L172" s="135">
        <f t="shared" si="72"/>
        <v>147.9</v>
      </c>
      <c r="M172" s="135">
        <f t="shared" si="73"/>
        <v>0</v>
      </c>
      <c r="N172" s="135">
        <f t="shared" si="74"/>
        <v>12.23</v>
      </c>
      <c r="O172" s="135">
        <f t="shared" si="75"/>
        <v>160.13</v>
      </c>
    </row>
    <row r="173" spans="1:15" ht="26.25" thickBot="1">
      <c r="A173" s="65" t="s">
        <v>449</v>
      </c>
      <c r="B173" s="90" t="s">
        <v>276</v>
      </c>
      <c r="C173" s="154" t="s">
        <v>41</v>
      </c>
      <c r="D173" s="147">
        <f>D172*0.2</f>
        <v>22.24</v>
      </c>
      <c r="E173" s="147"/>
      <c r="F173" s="154"/>
      <c r="G173" s="147"/>
      <c r="H173" s="154">
        <v>0.59</v>
      </c>
      <c r="I173" s="147">
        <f t="shared" si="69"/>
        <v>0</v>
      </c>
      <c r="J173" s="147">
        <f t="shared" si="70"/>
        <v>0.59</v>
      </c>
      <c r="K173" s="148">
        <f t="shared" si="71"/>
        <v>0</v>
      </c>
      <c r="L173" s="148">
        <f t="shared" si="72"/>
        <v>0</v>
      </c>
      <c r="M173" s="148">
        <f t="shared" si="73"/>
        <v>13.12</v>
      </c>
      <c r="N173" s="148">
        <f t="shared" si="74"/>
        <v>0</v>
      </c>
      <c r="O173" s="148">
        <f t="shared" si="75"/>
        <v>13.12</v>
      </c>
    </row>
    <row r="174" spans="1:10" ht="15.75" thickBot="1">
      <c r="A174" s="354" t="s">
        <v>296</v>
      </c>
      <c r="B174" s="355"/>
      <c r="C174" s="355"/>
      <c r="D174" s="355"/>
      <c r="E174" s="355"/>
      <c r="F174" s="355"/>
      <c r="G174" s="355"/>
      <c r="H174" s="355"/>
      <c r="I174" s="355"/>
      <c r="J174" s="356"/>
    </row>
    <row r="175" spans="1:15" ht="14.25">
      <c r="A175" s="110" t="s">
        <v>450</v>
      </c>
      <c r="B175" s="82" t="s">
        <v>138</v>
      </c>
      <c r="C175" s="30" t="s">
        <v>139</v>
      </c>
      <c r="D175" s="111">
        <v>0.71</v>
      </c>
      <c r="E175" s="155">
        <v>25</v>
      </c>
      <c r="F175" s="133">
        <f>$F$1</f>
        <v>3.8</v>
      </c>
      <c r="G175" s="133">
        <f>ROUND(E175*F175,2)</f>
        <v>95</v>
      </c>
      <c r="H175" s="133"/>
      <c r="I175" s="133">
        <f aca="true" t="shared" si="76" ref="I175:I184">ROUND(G175*$I$1,2)</f>
        <v>7.6</v>
      </c>
      <c r="J175" s="134">
        <f aca="true" t="shared" si="77" ref="J175:J189">SUM(G175:I175)</f>
        <v>102.6</v>
      </c>
      <c r="K175" s="135">
        <f aca="true" t="shared" si="78" ref="K175:K189">ROUND(D175*E175,2)</f>
        <v>17.75</v>
      </c>
      <c r="L175" s="135">
        <f aca="true" t="shared" si="79" ref="L175:L189">ROUND(D175*G175,2)</f>
        <v>67.45</v>
      </c>
      <c r="M175" s="135">
        <f aca="true" t="shared" si="80" ref="M175:M204">ROUND(D175*H175,2)</f>
        <v>0</v>
      </c>
      <c r="N175" s="135">
        <f aca="true" t="shared" si="81" ref="N175:N189">ROUND(I175*D175,2)</f>
        <v>5.4</v>
      </c>
      <c r="O175" s="135">
        <f aca="true" t="shared" si="82" ref="O175:O204">SUM(L175:N175)</f>
        <v>72.85</v>
      </c>
    </row>
    <row r="176" spans="1:15" ht="14.25">
      <c r="A176" s="110" t="s">
        <v>451</v>
      </c>
      <c r="B176" s="47" t="s">
        <v>87</v>
      </c>
      <c r="C176" s="112" t="s">
        <v>13</v>
      </c>
      <c r="D176" s="97">
        <f>SUM(D175*1.08)</f>
        <v>0.7668</v>
      </c>
      <c r="E176" s="154"/>
      <c r="F176" s="154"/>
      <c r="G176" s="154"/>
      <c r="H176" s="154">
        <v>160</v>
      </c>
      <c r="I176" s="147">
        <f t="shared" si="76"/>
        <v>0</v>
      </c>
      <c r="J176" s="147">
        <f t="shared" si="77"/>
        <v>160</v>
      </c>
      <c r="K176" s="148">
        <f t="shared" si="78"/>
        <v>0</v>
      </c>
      <c r="L176" s="148">
        <f t="shared" si="79"/>
        <v>0</v>
      </c>
      <c r="M176" s="148">
        <f t="shared" si="80"/>
        <v>122.69</v>
      </c>
      <c r="N176" s="148">
        <f t="shared" si="81"/>
        <v>0</v>
      </c>
      <c r="O176" s="148">
        <f t="shared" si="82"/>
        <v>122.69</v>
      </c>
    </row>
    <row r="177" spans="1:15" ht="12.75">
      <c r="A177" s="110" t="s">
        <v>452</v>
      </c>
      <c r="B177" s="47" t="s">
        <v>88</v>
      </c>
      <c r="C177" s="112" t="s">
        <v>43</v>
      </c>
      <c r="D177" s="97">
        <v>2.5</v>
      </c>
      <c r="E177" s="154"/>
      <c r="F177" s="154"/>
      <c r="G177" s="154"/>
      <c r="H177" s="154">
        <v>0.45</v>
      </c>
      <c r="I177" s="147">
        <f t="shared" si="76"/>
        <v>0</v>
      </c>
      <c r="J177" s="147">
        <f t="shared" si="77"/>
        <v>0.45</v>
      </c>
      <c r="K177" s="148">
        <f t="shared" si="78"/>
        <v>0</v>
      </c>
      <c r="L177" s="148">
        <f t="shared" si="79"/>
        <v>0</v>
      </c>
      <c r="M177" s="148">
        <f t="shared" si="80"/>
        <v>1.13</v>
      </c>
      <c r="N177" s="148">
        <f t="shared" si="81"/>
        <v>0</v>
      </c>
      <c r="O177" s="148">
        <f t="shared" si="82"/>
        <v>1.13</v>
      </c>
    </row>
    <row r="178" spans="1:15" ht="12.75">
      <c r="A178" s="110" t="s">
        <v>453</v>
      </c>
      <c r="B178" s="47" t="s">
        <v>89</v>
      </c>
      <c r="C178" s="112" t="s">
        <v>41</v>
      </c>
      <c r="D178" s="97">
        <v>60</v>
      </c>
      <c r="E178" s="154"/>
      <c r="F178" s="154"/>
      <c r="G178" s="154"/>
      <c r="H178" s="154">
        <v>0.7</v>
      </c>
      <c r="I178" s="147">
        <f t="shared" si="76"/>
        <v>0</v>
      </c>
      <c r="J178" s="147">
        <f t="shared" si="77"/>
        <v>0.7</v>
      </c>
      <c r="K178" s="148">
        <f t="shared" si="78"/>
        <v>0</v>
      </c>
      <c r="L178" s="148">
        <f t="shared" si="79"/>
        <v>0</v>
      </c>
      <c r="M178" s="148">
        <f t="shared" si="80"/>
        <v>42</v>
      </c>
      <c r="N178" s="148">
        <f t="shared" si="81"/>
        <v>0</v>
      </c>
      <c r="O178" s="148">
        <f t="shared" si="82"/>
        <v>42</v>
      </c>
    </row>
    <row r="179" spans="1:15" ht="25.5">
      <c r="A179" s="110" t="s">
        <v>454</v>
      </c>
      <c r="B179" s="47" t="s">
        <v>90</v>
      </c>
      <c r="C179" s="112" t="s">
        <v>243</v>
      </c>
      <c r="D179" s="97">
        <v>1</v>
      </c>
      <c r="E179" s="154"/>
      <c r="F179" s="154"/>
      <c r="G179" s="154"/>
      <c r="H179" s="154">
        <v>15</v>
      </c>
      <c r="I179" s="147">
        <f t="shared" si="76"/>
        <v>0</v>
      </c>
      <c r="J179" s="147">
        <f t="shared" si="77"/>
        <v>15</v>
      </c>
      <c r="K179" s="148">
        <f t="shared" si="78"/>
        <v>0</v>
      </c>
      <c r="L179" s="148">
        <f t="shared" si="79"/>
        <v>0</v>
      </c>
      <c r="M179" s="148">
        <f t="shared" si="80"/>
        <v>15</v>
      </c>
      <c r="N179" s="148">
        <f t="shared" si="81"/>
        <v>0</v>
      </c>
      <c r="O179" s="148">
        <f t="shared" si="82"/>
        <v>15</v>
      </c>
    </row>
    <row r="180" spans="1:15" ht="14.25">
      <c r="A180" s="110" t="s">
        <v>455</v>
      </c>
      <c r="B180" s="22" t="s">
        <v>140</v>
      </c>
      <c r="C180" s="85" t="s">
        <v>124</v>
      </c>
      <c r="D180" s="105">
        <v>27</v>
      </c>
      <c r="E180" s="155">
        <v>0.6</v>
      </c>
      <c r="F180" s="133">
        <f>$F$1</f>
        <v>3.8</v>
      </c>
      <c r="G180" s="133">
        <f>ROUND(E180*F180,2)</f>
        <v>2.28</v>
      </c>
      <c r="H180" s="133"/>
      <c r="I180" s="133">
        <f t="shared" si="76"/>
        <v>0.18</v>
      </c>
      <c r="J180" s="134">
        <f t="shared" si="77"/>
        <v>2.46</v>
      </c>
      <c r="K180" s="135">
        <f t="shared" si="78"/>
        <v>16.2</v>
      </c>
      <c r="L180" s="135">
        <f t="shared" si="79"/>
        <v>61.56</v>
      </c>
      <c r="M180" s="135">
        <f t="shared" si="80"/>
        <v>0</v>
      </c>
      <c r="N180" s="135">
        <f t="shared" si="81"/>
        <v>4.86</v>
      </c>
      <c r="O180" s="135">
        <f t="shared" si="82"/>
        <v>66.42</v>
      </c>
    </row>
    <row r="181" spans="1:15" ht="14.25">
      <c r="A181" s="110" t="s">
        <v>456</v>
      </c>
      <c r="B181" s="47" t="s">
        <v>91</v>
      </c>
      <c r="C181" s="112" t="s">
        <v>13</v>
      </c>
      <c r="D181" s="97">
        <v>0.13</v>
      </c>
      <c r="E181" s="154"/>
      <c r="F181" s="154"/>
      <c r="G181" s="154"/>
      <c r="H181" s="154">
        <v>160</v>
      </c>
      <c r="I181" s="147">
        <f t="shared" si="76"/>
        <v>0</v>
      </c>
      <c r="J181" s="147">
        <f t="shared" si="77"/>
        <v>160</v>
      </c>
      <c r="K181" s="148">
        <f t="shared" si="78"/>
        <v>0</v>
      </c>
      <c r="L181" s="148">
        <f t="shared" si="79"/>
        <v>0</v>
      </c>
      <c r="M181" s="148">
        <f t="shared" si="80"/>
        <v>20.8</v>
      </c>
      <c r="N181" s="148">
        <f t="shared" si="81"/>
        <v>0</v>
      </c>
      <c r="O181" s="148">
        <f t="shared" si="82"/>
        <v>20.8</v>
      </c>
    </row>
    <row r="182" spans="1:15" ht="12.75">
      <c r="A182" s="110" t="s">
        <v>457</v>
      </c>
      <c r="B182" s="47" t="s">
        <v>92</v>
      </c>
      <c r="C182" s="112" t="s">
        <v>243</v>
      </c>
      <c r="D182" s="97">
        <v>1</v>
      </c>
      <c r="E182" s="154"/>
      <c r="F182" s="154"/>
      <c r="G182" s="154"/>
      <c r="H182" s="154">
        <v>4.3</v>
      </c>
      <c r="I182" s="147">
        <f t="shared" si="76"/>
        <v>0</v>
      </c>
      <c r="J182" s="147">
        <f t="shared" si="77"/>
        <v>4.3</v>
      </c>
      <c r="K182" s="148">
        <f t="shared" si="78"/>
        <v>0</v>
      </c>
      <c r="L182" s="148">
        <f t="shared" si="79"/>
        <v>0</v>
      </c>
      <c r="M182" s="148">
        <f t="shared" si="80"/>
        <v>4.3</v>
      </c>
      <c r="N182" s="148">
        <f t="shared" si="81"/>
        <v>0</v>
      </c>
      <c r="O182" s="148">
        <f t="shared" si="82"/>
        <v>4.3</v>
      </c>
    </row>
    <row r="183" spans="1:15" ht="12.75">
      <c r="A183" s="110" t="s">
        <v>458</v>
      </c>
      <c r="B183" s="11" t="s">
        <v>141</v>
      </c>
      <c r="C183" s="73" t="s">
        <v>43</v>
      </c>
      <c r="D183" s="105">
        <v>27</v>
      </c>
      <c r="E183" s="155">
        <v>0.22</v>
      </c>
      <c r="F183" s="133">
        <f>$F$1</f>
        <v>3.8</v>
      </c>
      <c r="G183" s="133">
        <f>ROUND(E183*F183,2)</f>
        <v>0.84</v>
      </c>
      <c r="H183" s="133"/>
      <c r="I183" s="133">
        <f t="shared" si="76"/>
        <v>0.07</v>
      </c>
      <c r="J183" s="134">
        <f t="shared" si="77"/>
        <v>0.91</v>
      </c>
      <c r="K183" s="135">
        <f t="shared" si="78"/>
        <v>5.94</v>
      </c>
      <c r="L183" s="135">
        <f t="shared" si="79"/>
        <v>22.68</v>
      </c>
      <c r="M183" s="135">
        <f t="shared" si="80"/>
        <v>0</v>
      </c>
      <c r="N183" s="135">
        <f t="shared" si="81"/>
        <v>1.89</v>
      </c>
      <c r="O183" s="135">
        <f t="shared" si="82"/>
        <v>24.57</v>
      </c>
    </row>
    <row r="184" spans="1:15" ht="12.75">
      <c r="A184" s="110" t="s">
        <v>459</v>
      </c>
      <c r="B184" s="113" t="s">
        <v>93</v>
      </c>
      <c r="C184" s="97" t="s">
        <v>43</v>
      </c>
      <c r="D184" s="97">
        <f>D183*1.2</f>
        <v>32.4</v>
      </c>
      <c r="E184" s="154"/>
      <c r="F184" s="154"/>
      <c r="G184" s="154"/>
      <c r="H184" s="154">
        <v>0.59</v>
      </c>
      <c r="I184" s="147">
        <f t="shared" si="76"/>
        <v>0</v>
      </c>
      <c r="J184" s="147">
        <f t="shared" si="77"/>
        <v>0.59</v>
      </c>
      <c r="K184" s="148">
        <f t="shared" si="78"/>
        <v>0</v>
      </c>
      <c r="L184" s="148">
        <f t="shared" si="79"/>
        <v>0</v>
      </c>
      <c r="M184" s="148">
        <f t="shared" si="80"/>
        <v>19.12</v>
      </c>
      <c r="N184" s="148">
        <f t="shared" si="81"/>
        <v>0</v>
      </c>
      <c r="O184" s="148">
        <f t="shared" si="82"/>
        <v>19.12</v>
      </c>
    </row>
    <row r="185" spans="1:15" ht="25.5">
      <c r="A185" s="110" t="s">
        <v>460</v>
      </c>
      <c r="B185" s="11" t="s">
        <v>305</v>
      </c>
      <c r="C185" s="73" t="s">
        <v>43</v>
      </c>
      <c r="D185" s="105">
        <v>14.56</v>
      </c>
      <c r="E185" s="155">
        <v>0.98</v>
      </c>
      <c r="F185" s="133">
        <f>$F$1</f>
        <v>3.8</v>
      </c>
      <c r="G185" s="133">
        <f>ROUND(E185*F185,2)</f>
        <v>3.72</v>
      </c>
      <c r="H185" s="133"/>
      <c r="I185" s="133">
        <f>ROUND(G185*$I$1,2)+0.25</f>
        <v>0.55</v>
      </c>
      <c r="J185" s="134">
        <f t="shared" si="77"/>
        <v>4.27</v>
      </c>
      <c r="K185" s="135">
        <f t="shared" si="78"/>
        <v>14.27</v>
      </c>
      <c r="L185" s="135">
        <f t="shared" si="79"/>
        <v>54.16</v>
      </c>
      <c r="M185" s="135">
        <f t="shared" si="80"/>
        <v>0</v>
      </c>
      <c r="N185" s="135">
        <f t="shared" si="81"/>
        <v>8.01</v>
      </c>
      <c r="O185" s="135">
        <f t="shared" si="82"/>
        <v>62.17</v>
      </c>
    </row>
    <row r="186" spans="1:15" ht="12.75">
      <c r="A186" s="110" t="s">
        <v>461</v>
      </c>
      <c r="B186" s="47" t="s">
        <v>303</v>
      </c>
      <c r="C186" s="97" t="s">
        <v>43</v>
      </c>
      <c r="D186" s="114">
        <f>D185*1.25</f>
        <v>18</v>
      </c>
      <c r="E186" s="154"/>
      <c r="F186" s="154"/>
      <c r="G186" s="154"/>
      <c r="H186" s="154">
        <v>3.23</v>
      </c>
      <c r="I186" s="147">
        <f>ROUND(G186*$I$1,2)</f>
        <v>0</v>
      </c>
      <c r="J186" s="147">
        <f t="shared" si="77"/>
        <v>3.23</v>
      </c>
      <c r="K186" s="148">
        <f t="shared" si="78"/>
        <v>0</v>
      </c>
      <c r="L186" s="148">
        <f t="shared" si="79"/>
        <v>0</v>
      </c>
      <c r="M186" s="148">
        <f t="shared" si="80"/>
        <v>58.14</v>
      </c>
      <c r="N186" s="148">
        <f t="shared" si="81"/>
        <v>0</v>
      </c>
      <c r="O186" s="148">
        <f t="shared" si="82"/>
        <v>58.14</v>
      </c>
    </row>
    <row r="187" spans="1:15" ht="25.5">
      <c r="A187" s="110" t="s">
        <v>462</v>
      </c>
      <c r="B187" s="47" t="s">
        <v>304</v>
      </c>
      <c r="C187" s="16" t="s">
        <v>243</v>
      </c>
      <c r="D187" s="97">
        <v>1</v>
      </c>
      <c r="E187" s="154"/>
      <c r="F187" s="154"/>
      <c r="G187" s="154"/>
      <c r="H187" s="154">
        <v>10.2</v>
      </c>
      <c r="I187" s="147">
        <f>ROUND(G187*$I$1,2)</f>
        <v>0</v>
      </c>
      <c r="J187" s="147">
        <f t="shared" si="77"/>
        <v>10.2</v>
      </c>
      <c r="K187" s="148">
        <f t="shared" si="78"/>
        <v>0</v>
      </c>
      <c r="L187" s="148">
        <f t="shared" si="79"/>
        <v>0</v>
      </c>
      <c r="M187" s="148">
        <f t="shared" si="80"/>
        <v>10.2</v>
      </c>
      <c r="N187" s="148">
        <f t="shared" si="81"/>
        <v>0</v>
      </c>
      <c r="O187" s="148">
        <f t="shared" si="82"/>
        <v>10.2</v>
      </c>
    </row>
    <row r="188" spans="1:15" ht="25.5">
      <c r="A188" s="110" t="s">
        <v>463</v>
      </c>
      <c r="B188" s="13" t="s">
        <v>306</v>
      </c>
      <c r="C188" s="73" t="s">
        <v>43</v>
      </c>
      <c r="D188" s="105">
        <v>0.36</v>
      </c>
      <c r="E188" s="155">
        <v>1.3</v>
      </c>
      <c r="F188" s="133">
        <f>$F$1</f>
        <v>3.8</v>
      </c>
      <c r="G188" s="133">
        <f>ROUND(E188*F188,2)</f>
        <v>4.94</v>
      </c>
      <c r="H188" s="133"/>
      <c r="I188" s="133">
        <f>ROUND(G188*$I$1,2)</f>
        <v>0.4</v>
      </c>
      <c r="J188" s="134">
        <f t="shared" si="77"/>
        <v>5.34</v>
      </c>
      <c r="K188" s="135">
        <f t="shared" si="78"/>
        <v>0.47</v>
      </c>
      <c r="L188" s="135">
        <f t="shared" si="79"/>
        <v>1.78</v>
      </c>
      <c r="M188" s="135">
        <f t="shared" si="80"/>
        <v>0</v>
      </c>
      <c r="N188" s="135">
        <f t="shared" si="81"/>
        <v>0.14</v>
      </c>
      <c r="O188" s="135">
        <f t="shared" si="82"/>
        <v>1.92</v>
      </c>
    </row>
    <row r="189" spans="1:15" ht="12.75">
      <c r="A189" s="110" t="s">
        <v>464</v>
      </c>
      <c r="B189" s="47" t="s">
        <v>94</v>
      </c>
      <c r="C189" s="59" t="s">
        <v>15</v>
      </c>
      <c r="D189" s="114">
        <v>1</v>
      </c>
      <c r="E189" s="154"/>
      <c r="F189" s="154"/>
      <c r="G189" s="154"/>
      <c r="H189" s="154">
        <v>58</v>
      </c>
      <c r="I189" s="147">
        <f>ROUND(G189*$I$1,2)</f>
        <v>0</v>
      </c>
      <c r="J189" s="147">
        <f t="shared" si="77"/>
        <v>58</v>
      </c>
      <c r="K189" s="148">
        <f t="shared" si="78"/>
        <v>0</v>
      </c>
      <c r="L189" s="148">
        <f t="shared" si="79"/>
        <v>0</v>
      </c>
      <c r="M189" s="148">
        <f t="shared" si="80"/>
        <v>58</v>
      </c>
      <c r="N189" s="148">
        <f t="shared" si="81"/>
        <v>0</v>
      </c>
      <c r="O189" s="148">
        <f t="shared" si="82"/>
        <v>58</v>
      </c>
    </row>
    <row r="190" spans="1:15" ht="12.75">
      <c r="A190" s="110" t="s">
        <v>465</v>
      </c>
      <c r="B190" s="47" t="s">
        <v>307</v>
      </c>
      <c r="C190" s="160" t="s">
        <v>243</v>
      </c>
      <c r="D190" s="114">
        <v>1</v>
      </c>
      <c r="E190" s="154"/>
      <c r="F190" s="157"/>
      <c r="G190" s="157"/>
      <c r="H190" s="157">
        <v>18</v>
      </c>
      <c r="I190" s="147"/>
      <c r="J190" s="147"/>
      <c r="K190" s="148"/>
      <c r="L190" s="148"/>
      <c r="M190" s="148">
        <f t="shared" si="80"/>
        <v>18</v>
      </c>
      <c r="N190" s="148"/>
      <c r="O190" s="148">
        <f t="shared" si="82"/>
        <v>18</v>
      </c>
    </row>
    <row r="191" spans="1:15" ht="38.25">
      <c r="A191" s="110" t="s">
        <v>466</v>
      </c>
      <c r="B191" s="22" t="s">
        <v>297</v>
      </c>
      <c r="C191" s="73" t="s">
        <v>42</v>
      </c>
      <c r="D191" s="105">
        <v>1</v>
      </c>
      <c r="E191" s="155">
        <v>1.5</v>
      </c>
      <c r="F191" s="133">
        <f>$F$1</f>
        <v>3.8</v>
      </c>
      <c r="G191" s="133">
        <f>ROUND(E191*F191,2)</f>
        <v>5.7</v>
      </c>
      <c r="H191" s="133"/>
      <c r="I191" s="133">
        <f aca="true" t="shared" si="83" ref="I191:I204">ROUND(G191*$I$1,2)</f>
        <v>0.46</v>
      </c>
      <c r="J191" s="134">
        <f aca="true" t="shared" si="84" ref="J191:J204">SUM(G191:I191)</f>
        <v>6.16</v>
      </c>
      <c r="K191" s="135">
        <f aca="true" t="shared" si="85" ref="K191:K204">ROUND(D191*E191,2)</f>
        <v>1.5</v>
      </c>
      <c r="L191" s="135">
        <f aca="true" t="shared" si="86" ref="L191:L204">ROUND(D191*G191,2)</f>
        <v>5.7</v>
      </c>
      <c r="M191" s="135">
        <f t="shared" si="80"/>
        <v>0</v>
      </c>
      <c r="N191" s="135">
        <f aca="true" t="shared" si="87" ref="N191:N204">ROUND(I191*D191,2)</f>
        <v>0.46</v>
      </c>
      <c r="O191" s="135">
        <f t="shared" si="82"/>
        <v>6.16</v>
      </c>
    </row>
    <row r="192" spans="1:15" ht="38.25">
      <c r="A192" s="110" t="s">
        <v>467</v>
      </c>
      <c r="B192" s="115" t="s">
        <v>298</v>
      </c>
      <c r="C192" s="116" t="s">
        <v>243</v>
      </c>
      <c r="D192" s="96">
        <v>1</v>
      </c>
      <c r="E192" s="154"/>
      <c r="F192" s="154"/>
      <c r="G192" s="154"/>
      <c r="H192" s="154">
        <v>15.6</v>
      </c>
      <c r="I192" s="147">
        <f t="shared" si="83"/>
        <v>0</v>
      </c>
      <c r="J192" s="147">
        <f t="shared" si="84"/>
        <v>15.6</v>
      </c>
      <c r="K192" s="148">
        <f t="shared" si="85"/>
        <v>0</v>
      </c>
      <c r="L192" s="148">
        <f t="shared" si="86"/>
        <v>0</v>
      </c>
      <c r="M192" s="148">
        <f t="shared" si="80"/>
        <v>15.6</v>
      </c>
      <c r="N192" s="148">
        <f t="shared" si="87"/>
        <v>0</v>
      </c>
      <c r="O192" s="148">
        <f t="shared" si="82"/>
        <v>15.6</v>
      </c>
    </row>
    <row r="193" spans="1:15" ht="25.5">
      <c r="A193" s="110" t="s">
        <v>468</v>
      </c>
      <c r="B193" s="158" t="s">
        <v>302</v>
      </c>
      <c r="C193" s="60" t="s">
        <v>96</v>
      </c>
      <c r="D193" s="159">
        <v>1</v>
      </c>
      <c r="E193" s="154"/>
      <c r="F193" s="157"/>
      <c r="G193" s="157"/>
      <c r="H193" s="157">
        <v>2.3</v>
      </c>
      <c r="I193" s="147">
        <f t="shared" si="83"/>
        <v>0</v>
      </c>
      <c r="J193" s="147">
        <f t="shared" si="84"/>
        <v>2.3</v>
      </c>
      <c r="K193" s="148">
        <f t="shared" si="85"/>
        <v>0</v>
      </c>
      <c r="L193" s="148">
        <f t="shared" si="86"/>
        <v>0</v>
      </c>
      <c r="M193" s="148">
        <f t="shared" si="80"/>
        <v>2.3</v>
      </c>
      <c r="N193" s="148">
        <f t="shared" si="87"/>
        <v>0</v>
      </c>
      <c r="O193" s="148">
        <f t="shared" si="82"/>
        <v>2.3</v>
      </c>
    </row>
    <row r="194" spans="1:15" ht="12.75">
      <c r="A194" s="110" t="s">
        <v>469</v>
      </c>
      <c r="B194" s="158" t="s">
        <v>301</v>
      </c>
      <c r="C194" s="116" t="s">
        <v>41</v>
      </c>
      <c r="D194" s="159">
        <v>0.5</v>
      </c>
      <c r="E194" s="154"/>
      <c r="F194" s="157"/>
      <c r="G194" s="157"/>
      <c r="H194" s="157">
        <v>0.5</v>
      </c>
      <c r="I194" s="147">
        <f t="shared" si="83"/>
        <v>0</v>
      </c>
      <c r="J194" s="147">
        <f t="shared" si="84"/>
        <v>0.5</v>
      </c>
      <c r="K194" s="148">
        <f t="shared" si="85"/>
        <v>0</v>
      </c>
      <c r="L194" s="148">
        <f t="shared" si="86"/>
        <v>0</v>
      </c>
      <c r="M194" s="148">
        <f t="shared" si="80"/>
        <v>0.25</v>
      </c>
      <c r="N194" s="148">
        <f t="shared" si="87"/>
        <v>0</v>
      </c>
      <c r="O194" s="148">
        <f t="shared" si="82"/>
        <v>0.25</v>
      </c>
    </row>
    <row r="195" spans="1:15" ht="14.25">
      <c r="A195" s="110" t="s">
        <v>470</v>
      </c>
      <c r="B195" s="117" t="s">
        <v>142</v>
      </c>
      <c r="C195" s="49" t="s">
        <v>124</v>
      </c>
      <c r="D195" s="118">
        <v>14.56</v>
      </c>
      <c r="E195" s="155">
        <v>0.5</v>
      </c>
      <c r="F195" s="133">
        <f>$F$1</f>
        <v>3.8</v>
      </c>
      <c r="G195" s="133">
        <f>ROUND(E195*F195,2)</f>
        <v>1.9</v>
      </c>
      <c r="H195" s="133"/>
      <c r="I195" s="133">
        <f t="shared" si="83"/>
        <v>0.15</v>
      </c>
      <c r="J195" s="134">
        <f t="shared" si="84"/>
        <v>2.05</v>
      </c>
      <c r="K195" s="135">
        <f t="shared" si="85"/>
        <v>7.28</v>
      </c>
      <c r="L195" s="135">
        <f t="shared" si="86"/>
        <v>27.66</v>
      </c>
      <c r="M195" s="135">
        <f t="shared" si="80"/>
        <v>0</v>
      </c>
      <c r="N195" s="135">
        <f t="shared" si="87"/>
        <v>2.18</v>
      </c>
      <c r="O195" s="135">
        <f t="shared" si="82"/>
        <v>29.84</v>
      </c>
    </row>
    <row r="196" spans="1:15" ht="14.25">
      <c r="A196" s="110" t="s">
        <v>471</v>
      </c>
      <c r="B196" s="47" t="s">
        <v>300</v>
      </c>
      <c r="C196" s="112" t="s">
        <v>13</v>
      </c>
      <c r="D196" s="97">
        <f>ROUND(SUM(D195*1.08*0.025),1)</f>
        <v>0.4</v>
      </c>
      <c r="E196" s="154"/>
      <c r="F196" s="154"/>
      <c r="G196" s="154"/>
      <c r="H196" s="154">
        <v>160</v>
      </c>
      <c r="I196" s="147">
        <f t="shared" si="83"/>
        <v>0</v>
      </c>
      <c r="J196" s="147">
        <f t="shared" si="84"/>
        <v>160</v>
      </c>
      <c r="K196" s="148">
        <f t="shared" si="85"/>
        <v>0</v>
      </c>
      <c r="L196" s="148">
        <f t="shared" si="86"/>
        <v>0</v>
      </c>
      <c r="M196" s="148">
        <f t="shared" si="80"/>
        <v>64</v>
      </c>
      <c r="N196" s="148">
        <f t="shared" si="87"/>
        <v>0</v>
      </c>
      <c r="O196" s="148">
        <f t="shared" si="82"/>
        <v>64</v>
      </c>
    </row>
    <row r="197" spans="1:15" ht="25.5">
      <c r="A197" s="110" t="s">
        <v>472</v>
      </c>
      <c r="B197" s="11" t="s">
        <v>299</v>
      </c>
      <c r="C197" s="73" t="s">
        <v>96</v>
      </c>
      <c r="D197" s="105">
        <f>D185</f>
        <v>14.56</v>
      </c>
      <c r="E197" s="155">
        <v>0.15</v>
      </c>
      <c r="F197" s="133">
        <f>$F$1</f>
        <v>3.8</v>
      </c>
      <c r="G197" s="133">
        <f>ROUND(E197*F197,2)</f>
        <v>0.57</v>
      </c>
      <c r="H197" s="133"/>
      <c r="I197" s="133">
        <f t="shared" si="83"/>
        <v>0.05</v>
      </c>
      <c r="J197" s="134">
        <f t="shared" si="84"/>
        <v>0.62</v>
      </c>
      <c r="K197" s="135">
        <f t="shared" si="85"/>
        <v>2.18</v>
      </c>
      <c r="L197" s="135">
        <f t="shared" si="86"/>
        <v>8.3</v>
      </c>
      <c r="M197" s="135">
        <f t="shared" si="80"/>
        <v>0</v>
      </c>
      <c r="N197" s="135">
        <f t="shared" si="87"/>
        <v>0.73</v>
      </c>
      <c r="O197" s="135">
        <f t="shared" si="82"/>
        <v>9.03</v>
      </c>
    </row>
    <row r="198" spans="1:15" ht="14.25">
      <c r="A198" s="110" t="s">
        <v>473</v>
      </c>
      <c r="B198" s="12" t="s">
        <v>95</v>
      </c>
      <c r="C198" s="60" t="s">
        <v>96</v>
      </c>
      <c r="D198" s="97">
        <f>D197</f>
        <v>14.56</v>
      </c>
      <c r="E198" s="154"/>
      <c r="F198" s="154"/>
      <c r="G198" s="154"/>
      <c r="H198" s="154">
        <v>3.12</v>
      </c>
      <c r="I198" s="147">
        <f t="shared" si="83"/>
        <v>0</v>
      </c>
      <c r="J198" s="147">
        <f t="shared" si="84"/>
        <v>3.12</v>
      </c>
      <c r="K198" s="148">
        <f t="shared" si="85"/>
        <v>0</v>
      </c>
      <c r="L198" s="148">
        <f t="shared" si="86"/>
        <v>0</v>
      </c>
      <c r="M198" s="148">
        <f t="shared" si="80"/>
        <v>45.43</v>
      </c>
      <c r="N198" s="148">
        <f t="shared" si="87"/>
        <v>0</v>
      </c>
      <c r="O198" s="148">
        <f t="shared" si="82"/>
        <v>45.43</v>
      </c>
    </row>
    <row r="199" spans="1:15" ht="14.25">
      <c r="A199" s="110" t="s">
        <v>474</v>
      </c>
      <c r="B199" s="12" t="s">
        <v>97</v>
      </c>
      <c r="C199" s="60" t="s">
        <v>96</v>
      </c>
      <c r="D199" s="97">
        <f>D197</f>
        <v>14.56</v>
      </c>
      <c r="E199" s="154"/>
      <c r="F199" s="154"/>
      <c r="G199" s="154"/>
      <c r="H199" s="154">
        <v>2.31</v>
      </c>
      <c r="I199" s="147">
        <f t="shared" si="83"/>
        <v>0</v>
      </c>
      <c r="J199" s="147">
        <f t="shared" si="84"/>
        <v>2.31</v>
      </c>
      <c r="K199" s="148">
        <f t="shared" si="85"/>
        <v>0</v>
      </c>
      <c r="L199" s="148">
        <f t="shared" si="86"/>
        <v>0</v>
      </c>
      <c r="M199" s="148">
        <f t="shared" si="80"/>
        <v>33.63</v>
      </c>
      <c r="N199" s="148">
        <f t="shared" si="87"/>
        <v>0</v>
      </c>
      <c r="O199" s="148">
        <f t="shared" si="82"/>
        <v>33.63</v>
      </c>
    </row>
    <row r="200" spans="1:15" ht="14.25">
      <c r="A200" s="110" t="s">
        <v>475</v>
      </c>
      <c r="B200" s="22" t="s">
        <v>143</v>
      </c>
      <c r="C200" s="73" t="s">
        <v>96</v>
      </c>
      <c r="D200" s="105">
        <v>27</v>
      </c>
      <c r="E200" s="155">
        <v>0.22</v>
      </c>
      <c r="F200" s="133">
        <f>$F$1</f>
        <v>3.8</v>
      </c>
      <c r="G200" s="133">
        <f>ROUND(E200*F200,2)</f>
        <v>0.84</v>
      </c>
      <c r="H200" s="133"/>
      <c r="I200" s="133">
        <f t="shared" si="83"/>
        <v>0.07</v>
      </c>
      <c r="J200" s="134">
        <f t="shared" si="84"/>
        <v>0.91</v>
      </c>
      <c r="K200" s="135">
        <f t="shared" si="85"/>
        <v>5.94</v>
      </c>
      <c r="L200" s="135">
        <f t="shared" si="86"/>
        <v>22.68</v>
      </c>
      <c r="M200" s="135">
        <f t="shared" si="80"/>
        <v>0</v>
      </c>
      <c r="N200" s="135">
        <f t="shared" si="87"/>
        <v>1.89</v>
      </c>
      <c r="O200" s="135">
        <f t="shared" si="82"/>
        <v>24.57</v>
      </c>
    </row>
    <row r="201" spans="1:15" ht="14.25">
      <c r="A201" s="110" t="s">
        <v>476</v>
      </c>
      <c r="B201" s="12" t="s">
        <v>98</v>
      </c>
      <c r="C201" s="60" t="s">
        <v>96</v>
      </c>
      <c r="D201" s="61">
        <f>D200*1.1</f>
        <v>29.7</v>
      </c>
      <c r="E201" s="154"/>
      <c r="F201" s="154"/>
      <c r="G201" s="154"/>
      <c r="H201" s="154">
        <v>0.68</v>
      </c>
      <c r="I201" s="147">
        <f t="shared" si="83"/>
        <v>0</v>
      </c>
      <c r="J201" s="147">
        <f t="shared" si="84"/>
        <v>0.68</v>
      </c>
      <c r="K201" s="148">
        <f t="shared" si="85"/>
        <v>0</v>
      </c>
      <c r="L201" s="148">
        <f t="shared" si="86"/>
        <v>0</v>
      </c>
      <c r="M201" s="148">
        <f t="shared" si="80"/>
        <v>20.2</v>
      </c>
      <c r="N201" s="148">
        <f t="shared" si="87"/>
        <v>0</v>
      </c>
      <c r="O201" s="148">
        <f t="shared" si="82"/>
        <v>20.2</v>
      </c>
    </row>
    <row r="202" spans="1:15" ht="14.25">
      <c r="A202" s="110" t="s">
        <v>477</v>
      </c>
      <c r="B202" s="22" t="s">
        <v>144</v>
      </c>
      <c r="C202" s="49" t="s">
        <v>124</v>
      </c>
      <c r="D202" s="105">
        <v>2.88</v>
      </c>
      <c r="E202" s="155">
        <v>0.95</v>
      </c>
      <c r="F202" s="133">
        <f>$F$1</f>
        <v>3.8</v>
      </c>
      <c r="G202" s="133">
        <f>ROUND(E202*F202,2)</f>
        <v>3.61</v>
      </c>
      <c r="H202" s="133"/>
      <c r="I202" s="133">
        <f t="shared" si="83"/>
        <v>0.29</v>
      </c>
      <c r="J202" s="134">
        <f t="shared" si="84"/>
        <v>3.9</v>
      </c>
      <c r="K202" s="135">
        <f t="shared" si="85"/>
        <v>2.74</v>
      </c>
      <c r="L202" s="135">
        <f t="shared" si="86"/>
        <v>10.4</v>
      </c>
      <c r="M202" s="135">
        <f t="shared" si="80"/>
        <v>0</v>
      </c>
      <c r="N202" s="135">
        <f t="shared" si="87"/>
        <v>0.84</v>
      </c>
      <c r="O202" s="135">
        <f t="shared" si="82"/>
        <v>11.24</v>
      </c>
    </row>
    <row r="203" spans="1:15" ht="12.75">
      <c r="A203" s="110" t="s">
        <v>478</v>
      </c>
      <c r="B203" s="47" t="s">
        <v>99</v>
      </c>
      <c r="C203" s="112" t="s">
        <v>43</v>
      </c>
      <c r="D203" s="97">
        <f>D202*1.08</f>
        <v>3.1104</v>
      </c>
      <c r="E203" s="154"/>
      <c r="F203" s="154"/>
      <c r="G203" s="154"/>
      <c r="H203" s="154">
        <v>6.2</v>
      </c>
      <c r="I203" s="147">
        <f t="shared" si="83"/>
        <v>0</v>
      </c>
      <c r="J203" s="147">
        <f t="shared" si="84"/>
        <v>6.2</v>
      </c>
      <c r="K203" s="148">
        <f t="shared" si="85"/>
        <v>0</v>
      </c>
      <c r="L203" s="148">
        <f t="shared" si="86"/>
        <v>0</v>
      </c>
      <c r="M203" s="148">
        <f t="shared" si="80"/>
        <v>19.28</v>
      </c>
      <c r="N203" s="148">
        <f t="shared" si="87"/>
        <v>0</v>
      </c>
      <c r="O203" s="148">
        <f t="shared" si="82"/>
        <v>19.28</v>
      </c>
    </row>
    <row r="204" spans="1:15" ht="13.5" thickBot="1">
      <c r="A204" s="110" t="s">
        <v>479</v>
      </c>
      <c r="B204" s="108" t="s">
        <v>308</v>
      </c>
      <c r="C204" s="119" t="s">
        <v>243</v>
      </c>
      <c r="D204" s="109">
        <v>1</v>
      </c>
      <c r="E204" s="154"/>
      <c r="F204" s="154"/>
      <c r="G204" s="154"/>
      <c r="H204" s="154">
        <v>2.3</v>
      </c>
      <c r="I204" s="147">
        <f t="shared" si="83"/>
        <v>0</v>
      </c>
      <c r="J204" s="147">
        <f t="shared" si="84"/>
        <v>2.3</v>
      </c>
      <c r="K204" s="148">
        <f t="shared" si="85"/>
        <v>0</v>
      </c>
      <c r="L204" s="148">
        <f t="shared" si="86"/>
        <v>0</v>
      </c>
      <c r="M204" s="148">
        <f t="shared" si="80"/>
        <v>2.3</v>
      </c>
      <c r="N204" s="148">
        <f t="shared" si="87"/>
        <v>0</v>
      </c>
      <c r="O204" s="148">
        <f t="shared" si="82"/>
        <v>2.3</v>
      </c>
    </row>
    <row r="205" spans="1:10" ht="15.75" thickBot="1">
      <c r="A205" s="354" t="s">
        <v>309</v>
      </c>
      <c r="B205" s="355"/>
      <c r="C205" s="355"/>
      <c r="D205" s="355"/>
      <c r="E205" s="355"/>
      <c r="F205" s="355"/>
      <c r="G205" s="355"/>
      <c r="H205" s="355"/>
      <c r="I205" s="355"/>
      <c r="J205" s="356"/>
    </row>
    <row r="206" spans="1:15" ht="38.25">
      <c r="A206" s="65" t="s">
        <v>480</v>
      </c>
      <c r="B206" s="82" t="s">
        <v>145</v>
      </c>
      <c r="C206" s="30" t="s">
        <v>34</v>
      </c>
      <c r="D206" s="120">
        <f>SUM(D207:D208)</f>
        <v>3</v>
      </c>
      <c r="E206" s="155">
        <v>3.5</v>
      </c>
      <c r="F206" s="133">
        <f>$F$1</f>
        <v>3.8</v>
      </c>
      <c r="G206" s="133">
        <f>ROUND(E206*F206,2)</f>
        <v>13.3</v>
      </c>
      <c r="H206" s="133"/>
      <c r="I206" s="133">
        <f aca="true" t="shared" si="88" ref="I206:I213">ROUND(G206*$I$1,2)</f>
        <v>1.06</v>
      </c>
      <c r="J206" s="134">
        <f aca="true" t="shared" si="89" ref="J206:J213">SUM(G206:I206)</f>
        <v>14.36</v>
      </c>
      <c r="K206" s="135">
        <f aca="true" t="shared" si="90" ref="K206:K213">ROUND(D206*E206,2)</f>
        <v>10.5</v>
      </c>
      <c r="L206" s="135">
        <f aca="true" t="shared" si="91" ref="L206:L213">ROUND(D206*G206,2)</f>
        <v>39.9</v>
      </c>
      <c r="M206" s="135">
        <f aca="true" t="shared" si="92" ref="M206:M213">ROUND(D206*H206,2)</f>
        <v>0</v>
      </c>
      <c r="N206" s="135">
        <f aca="true" t="shared" si="93" ref="N206:N213">ROUND(I206*D206,2)</f>
        <v>3.18</v>
      </c>
      <c r="O206" s="135">
        <f aca="true" t="shared" si="94" ref="O206:O213">SUM(L206:N206)</f>
        <v>43.08</v>
      </c>
    </row>
    <row r="207" spans="1:15" ht="12.75">
      <c r="A207" s="65" t="s">
        <v>481</v>
      </c>
      <c r="B207" s="47" t="s">
        <v>100</v>
      </c>
      <c r="C207" s="16" t="s">
        <v>34</v>
      </c>
      <c r="D207" s="88">
        <v>1</v>
      </c>
      <c r="E207" s="154"/>
      <c r="F207" s="154"/>
      <c r="G207" s="154"/>
      <c r="H207" s="154">
        <v>45</v>
      </c>
      <c r="I207" s="147">
        <f t="shared" si="88"/>
        <v>0</v>
      </c>
      <c r="J207" s="147">
        <f t="shared" si="89"/>
        <v>45</v>
      </c>
      <c r="K207" s="148">
        <f t="shared" si="90"/>
        <v>0</v>
      </c>
      <c r="L207" s="148">
        <f t="shared" si="91"/>
        <v>0</v>
      </c>
      <c r="M207" s="148">
        <f t="shared" si="92"/>
        <v>45</v>
      </c>
      <c r="N207" s="148">
        <f t="shared" si="93"/>
        <v>0</v>
      </c>
      <c r="O207" s="148">
        <f t="shared" si="94"/>
        <v>45</v>
      </c>
    </row>
    <row r="208" spans="1:15" ht="12.75">
      <c r="A208" s="65" t="s">
        <v>482</v>
      </c>
      <c r="B208" s="47" t="s">
        <v>101</v>
      </c>
      <c r="C208" s="16" t="s">
        <v>34</v>
      </c>
      <c r="D208" s="88">
        <v>2</v>
      </c>
      <c r="E208" s="154"/>
      <c r="F208" s="154"/>
      <c r="G208" s="154"/>
      <c r="H208" s="154">
        <v>52</v>
      </c>
      <c r="I208" s="147">
        <f t="shared" si="88"/>
        <v>0</v>
      </c>
      <c r="J208" s="147">
        <f t="shared" si="89"/>
        <v>52</v>
      </c>
      <c r="K208" s="148">
        <f t="shared" si="90"/>
        <v>0</v>
      </c>
      <c r="L208" s="148">
        <f t="shared" si="91"/>
        <v>0</v>
      </c>
      <c r="M208" s="148">
        <f t="shared" si="92"/>
        <v>104</v>
      </c>
      <c r="N208" s="148">
        <f t="shared" si="93"/>
        <v>0</v>
      </c>
      <c r="O208" s="148">
        <f t="shared" si="94"/>
        <v>104</v>
      </c>
    </row>
    <row r="209" spans="1:15" ht="12.75">
      <c r="A209" s="65" t="s">
        <v>483</v>
      </c>
      <c r="B209" s="47" t="s">
        <v>102</v>
      </c>
      <c r="C209" s="16" t="s">
        <v>34</v>
      </c>
      <c r="D209" s="88">
        <v>3</v>
      </c>
      <c r="E209" s="154"/>
      <c r="F209" s="154"/>
      <c r="G209" s="154"/>
      <c r="H209" s="154">
        <v>2.4</v>
      </c>
      <c r="I209" s="147">
        <f t="shared" si="88"/>
        <v>0</v>
      </c>
      <c r="J209" s="147">
        <f t="shared" si="89"/>
        <v>2.4</v>
      </c>
      <c r="K209" s="148">
        <f t="shared" si="90"/>
        <v>0</v>
      </c>
      <c r="L209" s="148">
        <f t="shared" si="91"/>
        <v>0</v>
      </c>
      <c r="M209" s="148">
        <f t="shared" si="92"/>
        <v>7.2</v>
      </c>
      <c r="N209" s="148">
        <f t="shared" si="93"/>
        <v>0</v>
      </c>
      <c r="O209" s="148">
        <f t="shared" si="94"/>
        <v>7.2</v>
      </c>
    </row>
    <row r="210" spans="1:15" ht="25.5">
      <c r="A210" s="65" t="s">
        <v>484</v>
      </c>
      <c r="B210" s="90" t="s">
        <v>103</v>
      </c>
      <c r="C210" s="91" t="s">
        <v>46</v>
      </c>
      <c r="D210" s="121">
        <v>3</v>
      </c>
      <c r="E210" s="154"/>
      <c r="F210" s="154"/>
      <c r="G210" s="154"/>
      <c r="H210" s="154">
        <v>2.5</v>
      </c>
      <c r="I210" s="147">
        <f t="shared" si="88"/>
        <v>0</v>
      </c>
      <c r="J210" s="147">
        <f t="shared" si="89"/>
        <v>2.5</v>
      </c>
      <c r="K210" s="148">
        <f t="shared" si="90"/>
        <v>0</v>
      </c>
      <c r="L210" s="148">
        <f t="shared" si="91"/>
        <v>0</v>
      </c>
      <c r="M210" s="148">
        <f t="shared" si="92"/>
        <v>7.5</v>
      </c>
      <c r="N210" s="148">
        <f t="shared" si="93"/>
        <v>0</v>
      </c>
      <c r="O210" s="148">
        <f t="shared" si="94"/>
        <v>7.5</v>
      </c>
    </row>
    <row r="211" spans="1:15" ht="38.25">
      <c r="A211" s="65" t="s">
        <v>485</v>
      </c>
      <c r="B211" s="82" t="s">
        <v>146</v>
      </c>
      <c r="C211" s="30" t="s">
        <v>34</v>
      </c>
      <c r="D211" s="120">
        <v>1</v>
      </c>
      <c r="E211" s="155">
        <v>5</v>
      </c>
      <c r="F211" s="133">
        <f>$F$1</f>
        <v>3.8</v>
      </c>
      <c r="G211" s="133">
        <f>ROUND(E211*F211,2)</f>
        <v>19</v>
      </c>
      <c r="H211" s="133"/>
      <c r="I211" s="133">
        <f t="shared" si="88"/>
        <v>1.52</v>
      </c>
      <c r="J211" s="134">
        <f t="shared" si="89"/>
        <v>20.52</v>
      </c>
      <c r="K211" s="135">
        <f t="shared" si="90"/>
        <v>5</v>
      </c>
      <c r="L211" s="135">
        <f t="shared" si="91"/>
        <v>19</v>
      </c>
      <c r="M211" s="135">
        <f t="shared" si="92"/>
        <v>0</v>
      </c>
      <c r="N211" s="135">
        <f t="shared" si="93"/>
        <v>1.52</v>
      </c>
      <c r="O211" s="135">
        <f t="shared" si="94"/>
        <v>20.52</v>
      </c>
    </row>
    <row r="212" spans="1:15" ht="12.75">
      <c r="A212" s="65" t="s">
        <v>486</v>
      </c>
      <c r="B212" s="47" t="s">
        <v>104</v>
      </c>
      <c r="C212" s="16" t="s">
        <v>34</v>
      </c>
      <c r="D212" s="88">
        <v>1</v>
      </c>
      <c r="E212" s="154"/>
      <c r="F212" s="154"/>
      <c r="G212" s="154"/>
      <c r="H212" s="154">
        <v>105</v>
      </c>
      <c r="I212" s="147">
        <f t="shared" si="88"/>
        <v>0</v>
      </c>
      <c r="J212" s="147">
        <f t="shared" si="89"/>
        <v>105</v>
      </c>
      <c r="K212" s="148">
        <f t="shared" si="90"/>
        <v>0</v>
      </c>
      <c r="L212" s="148">
        <f t="shared" si="91"/>
        <v>0</v>
      </c>
      <c r="M212" s="148">
        <f t="shared" si="92"/>
        <v>105</v>
      </c>
      <c r="N212" s="148">
        <f t="shared" si="93"/>
        <v>0</v>
      </c>
      <c r="O212" s="148">
        <f t="shared" si="94"/>
        <v>105</v>
      </c>
    </row>
    <row r="213" spans="1:15" ht="26.25" thickBot="1">
      <c r="A213" s="65" t="s">
        <v>487</v>
      </c>
      <c r="B213" s="90" t="s">
        <v>103</v>
      </c>
      <c r="C213" s="91" t="s">
        <v>46</v>
      </c>
      <c r="D213" s="121">
        <v>1</v>
      </c>
      <c r="E213" s="154"/>
      <c r="F213" s="154"/>
      <c r="G213" s="154"/>
      <c r="H213" s="154">
        <v>5.2</v>
      </c>
      <c r="I213" s="147">
        <f t="shared" si="88"/>
        <v>0</v>
      </c>
      <c r="J213" s="147">
        <f t="shared" si="89"/>
        <v>5.2</v>
      </c>
      <c r="K213" s="148">
        <f t="shared" si="90"/>
        <v>0</v>
      </c>
      <c r="L213" s="148">
        <f t="shared" si="91"/>
        <v>0</v>
      </c>
      <c r="M213" s="148">
        <f t="shared" si="92"/>
        <v>5.2</v>
      </c>
      <c r="N213" s="148">
        <f t="shared" si="93"/>
        <v>0</v>
      </c>
      <c r="O213" s="148">
        <f t="shared" si="94"/>
        <v>5.2</v>
      </c>
    </row>
    <row r="214" spans="1:10" ht="15.75" thickBot="1">
      <c r="A214" s="354" t="s">
        <v>317</v>
      </c>
      <c r="B214" s="355"/>
      <c r="C214" s="355"/>
      <c r="D214" s="355"/>
      <c r="E214" s="355"/>
      <c r="F214" s="355"/>
      <c r="G214" s="355"/>
      <c r="H214" s="355"/>
      <c r="I214" s="355"/>
      <c r="J214" s="356"/>
    </row>
    <row r="215" spans="1:15" s="15" customFormat="1" ht="51">
      <c r="A215" s="65" t="s">
        <v>488</v>
      </c>
      <c r="B215" s="82" t="s">
        <v>310</v>
      </c>
      <c r="C215" s="155" t="s">
        <v>43</v>
      </c>
      <c r="D215" s="133">
        <v>10.3</v>
      </c>
      <c r="E215" s="155">
        <v>0.8</v>
      </c>
      <c r="F215" s="133">
        <f>$F$1</f>
        <v>3.8</v>
      </c>
      <c r="G215" s="133">
        <f>ROUND(E215*F215,2)</f>
        <v>3.04</v>
      </c>
      <c r="H215" s="133"/>
      <c r="I215" s="133">
        <f>ROUND(G215*$I$1,2)</f>
        <v>0.24</v>
      </c>
      <c r="J215" s="134">
        <f aca="true" t="shared" si="95" ref="J215:J224">SUM(G215:I215)</f>
        <v>3.28</v>
      </c>
      <c r="K215" s="135">
        <f aca="true" t="shared" si="96" ref="K215:K224">ROUND(D215*E215,2)</f>
        <v>8.24</v>
      </c>
      <c r="L215" s="135">
        <f aca="true" t="shared" si="97" ref="L215:L224">ROUND(D215*G215,2)</f>
        <v>31.31</v>
      </c>
      <c r="M215" s="135">
        <f aca="true" t="shared" si="98" ref="M215:M224">ROUND(D215*H215,2)</f>
        <v>0</v>
      </c>
      <c r="N215" s="135">
        <f aca="true" t="shared" si="99" ref="N215:N224">ROUND(I215*D215,2)</f>
        <v>2.47</v>
      </c>
      <c r="O215" s="135">
        <f aca="true" t="shared" si="100" ref="O215:O224">SUM(L215:N215)</f>
        <v>33.78</v>
      </c>
    </row>
    <row r="216" spans="1:15" ht="14.25">
      <c r="A216" s="65" t="s">
        <v>489</v>
      </c>
      <c r="B216" s="87" t="s">
        <v>265</v>
      </c>
      <c r="C216" s="16" t="s">
        <v>13</v>
      </c>
      <c r="D216" s="88">
        <f>ROUND(SUM(D215*0.1)*1.5,1)</f>
        <v>1.5</v>
      </c>
      <c r="E216" s="154"/>
      <c r="F216" s="154"/>
      <c r="G216" s="154"/>
      <c r="H216" s="154">
        <v>11</v>
      </c>
      <c r="I216" s="147">
        <f>ROUND(G216*$I$1,2)</f>
        <v>0</v>
      </c>
      <c r="J216" s="147">
        <f t="shared" si="95"/>
        <v>11</v>
      </c>
      <c r="K216" s="148">
        <f t="shared" si="96"/>
        <v>0</v>
      </c>
      <c r="L216" s="148">
        <f t="shared" si="97"/>
        <v>0</v>
      </c>
      <c r="M216" s="148">
        <f t="shared" si="98"/>
        <v>16.5</v>
      </c>
      <c r="N216" s="148">
        <f t="shared" si="99"/>
        <v>0</v>
      </c>
      <c r="O216" s="148">
        <f t="shared" si="100"/>
        <v>16.5</v>
      </c>
    </row>
    <row r="217" spans="1:15" ht="14.25">
      <c r="A217" s="65" t="s">
        <v>490</v>
      </c>
      <c r="B217" s="87" t="s">
        <v>311</v>
      </c>
      <c r="C217" s="16" t="s">
        <v>13</v>
      </c>
      <c r="D217" s="81">
        <f>ROUND(SUM(D215*0.1)*1.04,1)</f>
        <v>1.1</v>
      </c>
      <c r="E217" s="154"/>
      <c r="F217" s="154"/>
      <c r="G217" s="154"/>
      <c r="H217" s="154">
        <v>49</v>
      </c>
      <c r="I217" s="147">
        <f>ROUND(G217*$I$1,2)</f>
        <v>0</v>
      </c>
      <c r="J217" s="147">
        <f t="shared" si="95"/>
        <v>49</v>
      </c>
      <c r="K217" s="148">
        <f t="shared" si="96"/>
        <v>0</v>
      </c>
      <c r="L217" s="148">
        <f t="shared" si="97"/>
        <v>0</v>
      </c>
      <c r="M217" s="148">
        <f t="shared" si="98"/>
        <v>53.9</v>
      </c>
      <c r="N217" s="148">
        <f t="shared" si="99"/>
        <v>0</v>
      </c>
      <c r="O217" s="148">
        <f t="shared" si="100"/>
        <v>53.9</v>
      </c>
    </row>
    <row r="218" spans="1:15" ht="12.75">
      <c r="A218" s="65" t="s">
        <v>491</v>
      </c>
      <c r="B218" s="12" t="s">
        <v>105</v>
      </c>
      <c r="C218" s="76" t="s">
        <v>43</v>
      </c>
      <c r="D218" s="76">
        <v>15</v>
      </c>
      <c r="E218" s="154"/>
      <c r="F218" s="154"/>
      <c r="G218" s="154"/>
      <c r="H218" s="154">
        <v>0.45</v>
      </c>
      <c r="I218" s="147">
        <f>ROUND(G218*$I$1,2)</f>
        <v>0</v>
      </c>
      <c r="J218" s="147">
        <f t="shared" si="95"/>
        <v>0.45</v>
      </c>
      <c r="K218" s="148">
        <f t="shared" si="96"/>
        <v>0</v>
      </c>
      <c r="L218" s="148">
        <f t="shared" si="97"/>
        <v>0</v>
      </c>
      <c r="M218" s="148">
        <f t="shared" si="98"/>
        <v>6.75</v>
      </c>
      <c r="N218" s="148">
        <f t="shared" si="99"/>
        <v>0</v>
      </c>
      <c r="O218" s="148">
        <f t="shared" si="100"/>
        <v>6.75</v>
      </c>
    </row>
    <row r="219" spans="1:15" ht="12.75">
      <c r="A219" s="65" t="s">
        <v>492</v>
      </c>
      <c r="B219" s="47" t="s">
        <v>0</v>
      </c>
      <c r="C219" s="16" t="s">
        <v>46</v>
      </c>
      <c r="D219" s="76">
        <v>1</v>
      </c>
      <c r="E219" s="154"/>
      <c r="F219" s="154"/>
      <c r="G219" s="154"/>
      <c r="H219" s="154">
        <v>2.1</v>
      </c>
      <c r="I219" s="147">
        <f>ROUND(G219*$I$1,2)</f>
        <v>0</v>
      </c>
      <c r="J219" s="147">
        <f t="shared" si="95"/>
        <v>2.1</v>
      </c>
      <c r="K219" s="148">
        <f t="shared" si="96"/>
        <v>0</v>
      </c>
      <c r="L219" s="148">
        <f t="shared" si="97"/>
        <v>0</v>
      </c>
      <c r="M219" s="148">
        <f t="shared" si="98"/>
        <v>2.1</v>
      </c>
      <c r="N219" s="148">
        <f t="shared" si="99"/>
        <v>0</v>
      </c>
      <c r="O219" s="148">
        <f t="shared" si="100"/>
        <v>2.1</v>
      </c>
    </row>
    <row r="220" spans="1:15" s="15" customFormat="1" ht="38.25">
      <c r="A220" s="65" t="s">
        <v>493</v>
      </c>
      <c r="B220" s="82" t="s">
        <v>312</v>
      </c>
      <c r="C220" s="155" t="s">
        <v>14</v>
      </c>
      <c r="D220" s="133">
        <v>0.1</v>
      </c>
      <c r="E220" s="155">
        <v>24</v>
      </c>
      <c r="F220" s="133">
        <f>$F$1</f>
        <v>3.8</v>
      </c>
      <c r="G220" s="133">
        <f>ROUND(E220*F220,2)</f>
        <v>91.2</v>
      </c>
      <c r="H220" s="133"/>
      <c r="I220" s="133">
        <f>ROUND(G220*$I$1,2)+5</f>
        <v>12.3</v>
      </c>
      <c r="J220" s="134">
        <f t="shared" si="95"/>
        <v>103.5</v>
      </c>
      <c r="K220" s="135">
        <f t="shared" si="96"/>
        <v>2.4</v>
      </c>
      <c r="L220" s="135">
        <f t="shared" si="97"/>
        <v>9.12</v>
      </c>
      <c r="M220" s="135">
        <f t="shared" si="98"/>
        <v>0</v>
      </c>
      <c r="N220" s="135">
        <f t="shared" si="99"/>
        <v>1.23</v>
      </c>
      <c r="O220" s="135">
        <f t="shared" si="100"/>
        <v>10.35</v>
      </c>
    </row>
    <row r="221" spans="1:15" s="15" customFormat="1" ht="14.25">
      <c r="A221" s="65" t="s">
        <v>494</v>
      </c>
      <c r="B221" s="82" t="s">
        <v>315</v>
      </c>
      <c r="C221" s="155" t="s">
        <v>124</v>
      </c>
      <c r="D221" s="133">
        <v>68</v>
      </c>
      <c r="E221" s="155">
        <v>0.01</v>
      </c>
      <c r="F221" s="133">
        <f>$F$1</f>
        <v>3.8</v>
      </c>
      <c r="G221" s="133">
        <f>ROUND(E221*F221,2)</f>
        <v>0.04</v>
      </c>
      <c r="H221" s="133"/>
      <c r="I221" s="133">
        <f>ROUND(G221*$I$1,2)+0.98</f>
        <v>0.98</v>
      </c>
      <c r="J221" s="134">
        <f t="shared" si="95"/>
        <v>1.02</v>
      </c>
      <c r="K221" s="135">
        <f t="shared" si="96"/>
        <v>0.68</v>
      </c>
      <c r="L221" s="135">
        <f t="shared" si="97"/>
        <v>2.72</v>
      </c>
      <c r="M221" s="135">
        <f t="shared" si="98"/>
        <v>0</v>
      </c>
      <c r="N221" s="135">
        <f t="shared" si="99"/>
        <v>66.64</v>
      </c>
      <c r="O221" s="135">
        <f t="shared" si="100"/>
        <v>69.36</v>
      </c>
    </row>
    <row r="222" spans="1:15" s="15" customFormat="1" ht="38.25">
      <c r="A222" s="65" t="s">
        <v>495</v>
      </c>
      <c r="B222" s="82" t="s">
        <v>314</v>
      </c>
      <c r="C222" s="155" t="s">
        <v>124</v>
      </c>
      <c r="D222" s="161">
        <v>30</v>
      </c>
      <c r="E222" s="155">
        <v>0.25</v>
      </c>
      <c r="F222" s="133">
        <f>$F$1</f>
        <v>3.8</v>
      </c>
      <c r="G222" s="133">
        <f>ROUND(E222*F222,2)</f>
        <v>0.95</v>
      </c>
      <c r="H222" s="133"/>
      <c r="I222" s="133">
        <f>ROUND(G222*$I$1,2)+0.6</f>
        <v>0.68</v>
      </c>
      <c r="J222" s="134">
        <f t="shared" si="95"/>
        <v>1.63</v>
      </c>
      <c r="K222" s="135">
        <f t="shared" si="96"/>
        <v>7.5</v>
      </c>
      <c r="L222" s="135">
        <f t="shared" si="97"/>
        <v>28.5</v>
      </c>
      <c r="M222" s="135">
        <f t="shared" si="98"/>
        <v>0</v>
      </c>
      <c r="N222" s="135">
        <f t="shared" si="99"/>
        <v>20.4</v>
      </c>
      <c r="O222" s="135">
        <f t="shared" si="100"/>
        <v>48.9</v>
      </c>
    </row>
    <row r="223" spans="1:15" ht="12.75">
      <c r="A223" s="65" t="s">
        <v>496</v>
      </c>
      <c r="B223" s="87" t="s">
        <v>313</v>
      </c>
      <c r="C223" s="16" t="s">
        <v>41</v>
      </c>
      <c r="D223" s="81">
        <f>D222*0.03</f>
        <v>0.9</v>
      </c>
      <c r="E223" s="154"/>
      <c r="F223" s="154"/>
      <c r="G223" s="154"/>
      <c r="H223" s="154">
        <v>3.94</v>
      </c>
      <c r="I223" s="147">
        <f>ROUND(G223*$I$1,2)</f>
        <v>0</v>
      </c>
      <c r="J223" s="147">
        <f t="shared" si="95"/>
        <v>3.94</v>
      </c>
      <c r="K223" s="148">
        <f t="shared" si="96"/>
        <v>0</v>
      </c>
      <c r="L223" s="148">
        <f t="shared" si="97"/>
        <v>0</v>
      </c>
      <c r="M223" s="148">
        <f t="shared" si="98"/>
        <v>3.55</v>
      </c>
      <c r="N223" s="148">
        <f t="shared" si="99"/>
        <v>0</v>
      </c>
      <c r="O223" s="148">
        <f t="shared" si="100"/>
        <v>3.55</v>
      </c>
    </row>
    <row r="224" spans="1:15" ht="15" thickBot="1">
      <c r="A224" s="65" t="s">
        <v>497</v>
      </c>
      <c r="B224" s="87" t="s">
        <v>316</v>
      </c>
      <c r="C224" s="16" t="s">
        <v>13</v>
      </c>
      <c r="D224" s="81">
        <f>ROUND(D222*0.15*0.2,0)</f>
        <v>1</v>
      </c>
      <c r="E224" s="154"/>
      <c r="F224" s="154"/>
      <c r="G224" s="154"/>
      <c r="H224" s="154">
        <v>6.2</v>
      </c>
      <c r="I224" s="147">
        <f>ROUND(G224*$I$1,2)</f>
        <v>0</v>
      </c>
      <c r="J224" s="147">
        <f t="shared" si="95"/>
        <v>6.2</v>
      </c>
      <c r="K224" s="148">
        <f t="shared" si="96"/>
        <v>0</v>
      </c>
      <c r="L224" s="148">
        <f t="shared" si="97"/>
        <v>0</v>
      </c>
      <c r="M224" s="148">
        <f t="shared" si="98"/>
        <v>6.2</v>
      </c>
      <c r="N224" s="148">
        <f t="shared" si="99"/>
        <v>0</v>
      </c>
      <c r="O224" s="148">
        <f t="shared" si="100"/>
        <v>6.2</v>
      </c>
    </row>
    <row r="225" spans="1:10" ht="15.75" thickBot="1">
      <c r="A225" s="354" t="s">
        <v>318</v>
      </c>
      <c r="B225" s="355"/>
      <c r="C225" s="355"/>
      <c r="D225" s="355"/>
      <c r="E225" s="355"/>
      <c r="F225" s="355"/>
      <c r="G225" s="355"/>
      <c r="H225" s="355"/>
      <c r="I225" s="355"/>
      <c r="J225" s="356"/>
    </row>
    <row r="226" spans="1:15" s="15" customFormat="1" ht="25.5">
      <c r="A226" s="65" t="s">
        <v>498</v>
      </c>
      <c r="B226" s="82" t="s">
        <v>319</v>
      </c>
      <c r="C226" s="168" t="s">
        <v>243</v>
      </c>
      <c r="D226" s="133">
        <v>1</v>
      </c>
      <c r="E226" s="168">
        <v>8</v>
      </c>
      <c r="F226" s="133">
        <f>$F$1</f>
        <v>3.8</v>
      </c>
      <c r="G226" s="133">
        <f>ROUND(E226*F226,2)</f>
        <v>30.4</v>
      </c>
      <c r="H226" s="133"/>
      <c r="I226" s="133">
        <f>ROUND(G226*$I$1,2)</f>
        <v>2.43</v>
      </c>
      <c r="J226" s="134">
        <f>SUM(G226:I226)</f>
        <v>32.83</v>
      </c>
      <c r="K226" s="135">
        <f>ROUND(D226*E226,2)</f>
        <v>8</v>
      </c>
      <c r="L226" s="135">
        <f>ROUND(D226*G226,2)</f>
        <v>30.4</v>
      </c>
      <c r="M226" s="135">
        <f>ROUND(D226*H226,2)</f>
        <v>0</v>
      </c>
      <c r="N226" s="135">
        <f>ROUND(I226*D226,2)</f>
        <v>2.43</v>
      </c>
      <c r="O226" s="135">
        <f>SUM(L226:N226)</f>
        <v>32.83</v>
      </c>
    </row>
    <row r="227" spans="1:15" s="129" customFormat="1" ht="25.5">
      <c r="A227" s="65" t="s">
        <v>499</v>
      </c>
      <c r="B227" s="162" t="s">
        <v>147</v>
      </c>
      <c r="C227" s="54" t="s">
        <v>148</v>
      </c>
      <c r="D227" s="163">
        <v>1</v>
      </c>
      <c r="E227" s="154"/>
      <c r="F227" s="154"/>
      <c r="G227" s="154"/>
      <c r="H227" s="154">
        <v>45</v>
      </c>
      <c r="I227" s="148">
        <f>ROUND(G227*$I$1,2)</f>
        <v>0</v>
      </c>
      <c r="J227" s="148">
        <f>SUM(G227:I227)</f>
        <v>45</v>
      </c>
      <c r="K227" s="148">
        <f>ROUND(D227*E227,2)</f>
        <v>0</v>
      </c>
      <c r="L227" s="148">
        <f>ROUND(D227*G227,2)</f>
        <v>0</v>
      </c>
      <c r="M227" s="148">
        <f>ROUND(D227*H227,2)</f>
        <v>45</v>
      </c>
      <c r="N227" s="148">
        <f>ROUND(I227*D227,2)</f>
        <v>0</v>
      </c>
      <c r="O227" s="148">
        <f>SUM(L227:N227)</f>
        <v>45</v>
      </c>
    </row>
    <row r="228" spans="1:15" s="15" customFormat="1" ht="25.5">
      <c r="A228" s="65" t="s">
        <v>500</v>
      </c>
      <c r="B228" s="22" t="s">
        <v>320</v>
      </c>
      <c r="C228" s="155" t="s">
        <v>243</v>
      </c>
      <c r="D228" s="45">
        <f>SUM(D229:D236)</f>
        <v>15</v>
      </c>
      <c r="E228" s="155">
        <v>0.9</v>
      </c>
      <c r="F228" s="45">
        <f>$F$1</f>
        <v>3.8</v>
      </c>
      <c r="G228" s="45">
        <f>ROUND(E228*F228,2)</f>
        <v>3.42</v>
      </c>
      <c r="H228" s="45"/>
      <c r="I228" s="45">
        <f>ROUND(G228*$I$1,2)</f>
        <v>0.27</v>
      </c>
      <c r="J228" s="135">
        <f aca="true" t="shared" si="101" ref="J228:J236">SUM(G228:I228)</f>
        <v>3.69</v>
      </c>
      <c r="K228" s="135">
        <f aca="true" t="shared" si="102" ref="K228:K236">ROUND(D228*E228,2)</f>
        <v>13.5</v>
      </c>
      <c r="L228" s="135">
        <f aca="true" t="shared" si="103" ref="L228:L236">ROUND(D228*G228,2)</f>
        <v>51.3</v>
      </c>
      <c r="M228" s="135">
        <f aca="true" t="shared" si="104" ref="M228:M236">ROUND(D228*H228,2)</f>
        <v>0</v>
      </c>
      <c r="N228" s="135">
        <f aca="true" t="shared" si="105" ref="N228:N236">ROUND(I228*D228,2)</f>
        <v>4.05</v>
      </c>
      <c r="O228" s="135">
        <f aca="true" t="shared" si="106" ref="O228:O236">SUM(L228:N228)</f>
        <v>55.35</v>
      </c>
    </row>
    <row r="229" spans="1:15" s="129" customFormat="1" ht="12.75">
      <c r="A229" s="65" t="s">
        <v>501</v>
      </c>
      <c r="B229" s="162" t="s">
        <v>149</v>
      </c>
      <c r="C229" s="54" t="s">
        <v>148</v>
      </c>
      <c r="D229" s="163">
        <v>1</v>
      </c>
      <c r="E229" s="154"/>
      <c r="F229" s="154"/>
      <c r="G229" s="154"/>
      <c r="H229" s="154">
        <v>18</v>
      </c>
      <c r="I229" s="148">
        <f aca="true" t="shared" si="107" ref="I229:I236">ROUND(G229*$I$1,2)</f>
        <v>0</v>
      </c>
      <c r="J229" s="148">
        <f t="shared" si="101"/>
        <v>18</v>
      </c>
      <c r="K229" s="148">
        <f t="shared" si="102"/>
        <v>0</v>
      </c>
      <c r="L229" s="148">
        <f t="shared" si="103"/>
        <v>0</v>
      </c>
      <c r="M229" s="148">
        <f t="shared" si="104"/>
        <v>18</v>
      </c>
      <c r="N229" s="148">
        <f t="shared" si="105"/>
        <v>0</v>
      </c>
      <c r="O229" s="148">
        <f t="shared" si="106"/>
        <v>18</v>
      </c>
    </row>
    <row r="230" spans="1:15" s="129" customFormat="1" ht="12.75">
      <c r="A230" s="65" t="s">
        <v>502</v>
      </c>
      <c r="B230" s="162" t="s">
        <v>150</v>
      </c>
      <c r="C230" s="54" t="s">
        <v>148</v>
      </c>
      <c r="D230" s="163">
        <v>3</v>
      </c>
      <c r="E230" s="154"/>
      <c r="F230" s="154"/>
      <c r="G230" s="154"/>
      <c r="H230" s="154">
        <v>2.8</v>
      </c>
      <c r="I230" s="148">
        <f t="shared" si="107"/>
        <v>0</v>
      </c>
      <c r="J230" s="148">
        <f t="shared" si="101"/>
        <v>2.8</v>
      </c>
      <c r="K230" s="148">
        <f t="shared" si="102"/>
        <v>0</v>
      </c>
      <c r="L230" s="148">
        <f t="shared" si="103"/>
        <v>0</v>
      </c>
      <c r="M230" s="148">
        <f t="shared" si="104"/>
        <v>8.4</v>
      </c>
      <c r="N230" s="148">
        <f t="shared" si="105"/>
        <v>0</v>
      </c>
      <c r="O230" s="148">
        <f t="shared" si="106"/>
        <v>8.4</v>
      </c>
    </row>
    <row r="231" spans="1:15" s="129" customFormat="1" ht="12.75">
      <c r="A231" s="65" t="s">
        <v>503</v>
      </c>
      <c r="B231" s="164" t="s">
        <v>151</v>
      </c>
      <c r="C231" s="54" t="s">
        <v>148</v>
      </c>
      <c r="D231" s="163">
        <v>1</v>
      </c>
      <c r="E231" s="154"/>
      <c r="F231" s="154"/>
      <c r="G231" s="154"/>
      <c r="H231" s="154">
        <v>5.5</v>
      </c>
      <c r="I231" s="148">
        <f t="shared" si="107"/>
        <v>0</v>
      </c>
      <c r="J231" s="148">
        <f t="shared" si="101"/>
        <v>5.5</v>
      </c>
      <c r="K231" s="148">
        <f t="shared" si="102"/>
        <v>0</v>
      </c>
      <c r="L231" s="148">
        <f t="shared" si="103"/>
        <v>0</v>
      </c>
      <c r="M231" s="148">
        <f t="shared" si="104"/>
        <v>5.5</v>
      </c>
      <c r="N231" s="148">
        <f t="shared" si="105"/>
        <v>0</v>
      </c>
      <c r="O231" s="148">
        <f t="shared" si="106"/>
        <v>5.5</v>
      </c>
    </row>
    <row r="232" spans="1:15" s="129" customFormat="1" ht="12.75">
      <c r="A232" s="65" t="s">
        <v>504</v>
      </c>
      <c r="B232" s="164" t="s">
        <v>152</v>
      </c>
      <c r="C232" s="54" t="s">
        <v>148</v>
      </c>
      <c r="D232" s="163">
        <v>1</v>
      </c>
      <c r="E232" s="154"/>
      <c r="F232" s="154"/>
      <c r="G232" s="154"/>
      <c r="H232" s="154">
        <v>6.2</v>
      </c>
      <c r="I232" s="148">
        <f t="shared" si="107"/>
        <v>0</v>
      </c>
      <c r="J232" s="148">
        <f t="shared" si="101"/>
        <v>6.2</v>
      </c>
      <c r="K232" s="148">
        <f t="shared" si="102"/>
        <v>0</v>
      </c>
      <c r="L232" s="148">
        <f t="shared" si="103"/>
        <v>0</v>
      </c>
      <c r="M232" s="148">
        <f t="shared" si="104"/>
        <v>6.2</v>
      </c>
      <c r="N232" s="148">
        <f t="shared" si="105"/>
        <v>0</v>
      </c>
      <c r="O232" s="148">
        <f t="shared" si="106"/>
        <v>6.2</v>
      </c>
    </row>
    <row r="233" spans="1:15" s="129" customFormat="1" ht="12.75">
      <c r="A233" s="65" t="s">
        <v>505</v>
      </c>
      <c r="B233" s="164" t="s">
        <v>153</v>
      </c>
      <c r="C233" s="54" t="s">
        <v>148</v>
      </c>
      <c r="D233" s="163">
        <v>1</v>
      </c>
      <c r="E233" s="154"/>
      <c r="F233" s="154"/>
      <c r="G233" s="154"/>
      <c r="H233" s="154">
        <v>16</v>
      </c>
      <c r="I233" s="148">
        <f t="shared" si="107"/>
        <v>0</v>
      </c>
      <c r="J233" s="148">
        <f t="shared" si="101"/>
        <v>16</v>
      </c>
      <c r="K233" s="148">
        <f t="shared" si="102"/>
        <v>0</v>
      </c>
      <c r="L233" s="148">
        <f t="shared" si="103"/>
        <v>0</v>
      </c>
      <c r="M233" s="148">
        <f t="shared" si="104"/>
        <v>16</v>
      </c>
      <c r="N233" s="148">
        <f t="shared" si="105"/>
        <v>0</v>
      </c>
      <c r="O233" s="148">
        <f t="shared" si="106"/>
        <v>16</v>
      </c>
    </row>
    <row r="234" spans="1:15" s="129" customFormat="1" ht="12.75">
      <c r="A234" s="65" t="s">
        <v>506</v>
      </c>
      <c r="B234" s="162" t="s">
        <v>154</v>
      </c>
      <c r="C234" s="54" t="s">
        <v>148</v>
      </c>
      <c r="D234" s="163">
        <v>3</v>
      </c>
      <c r="E234" s="154"/>
      <c r="F234" s="154"/>
      <c r="G234" s="154"/>
      <c r="H234" s="154">
        <v>19.2</v>
      </c>
      <c r="I234" s="148">
        <f t="shared" si="107"/>
        <v>0</v>
      </c>
      <c r="J234" s="148">
        <f t="shared" si="101"/>
        <v>19.2</v>
      </c>
      <c r="K234" s="148">
        <f t="shared" si="102"/>
        <v>0</v>
      </c>
      <c r="L234" s="148">
        <f t="shared" si="103"/>
        <v>0</v>
      </c>
      <c r="M234" s="148">
        <f t="shared" si="104"/>
        <v>57.6</v>
      </c>
      <c r="N234" s="148">
        <f t="shared" si="105"/>
        <v>0</v>
      </c>
      <c r="O234" s="148">
        <f t="shared" si="106"/>
        <v>57.6</v>
      </c>
    </row>
    <row r="235" spans="1:15" s="129" customFormat="1" ht="12.75">
      <c r="A235" s="65" t="s">
        <v>507</v>
      </c>
      <c r="B235" s="162" t="s">
        <v>155</v>
      </c>
      <c r="C235" s="54" t="s">
        <v>148</v>
      </c>
      <c r="D235" s="163">
        <v>1</v>
      </c>
      <c r="E235" s="154"/>
      <c r="F235" s="154"/>
      <c r="G235" s="154"/>
      <c r="H235" s="154">
        <v>4.7</v>
      </c>
      <c r="I235" s="148">
        <f t="shared" si="107"/>
        <v>0</v>
      </c>
      <c r="J235" s="148">
        <f t="shared" si="101"/>
        <v>4.7</v>
      </c>
      <c r="K235" s="148">
        <f t="shared" si="102"/>
        <v>0</v>
      </c>
      <c r="L235" s="148">
        <f t="shared" si="103"/>
        <v>0</v>
      </c>
      <c r="M235" s="148">
        <f t="shared" si="104"/>
        <v>4.7</v>
      </c>
      <c r="N235" s="148">
        <f t="shared" si="105"/>
        <v>0</v>
      </c>
      <c r="O235" s="148">
        <f t="shared" si="106"/>
        <v>4.7</v>
      </c>
    </row>
    <row r="236" spans="1:15" s="129" customFormat="1" ht="12.75">
      <c r="A236" s="65" t="s">
        <v>508</v>
      </c>
      <c r="B236" s="162" t="s">
        <v>156</v>
      </c>
      <c r="C236" s="54" t="s">
        <v>148</v>
      </c>
      <c r="D236" s="163">
        <v>4</v>
      </c>
      <c r="E236" s="154"/>
      <c r="F236" s="154"/>
      <c r="G236" s="154"/>
      <c r="H236" s="154">
        <v>1.1</v>
      </c>
      <c r="I236" s="148">
        <f t="shared" si="107"/>
        <v>0</v>
      </c>
      <c r="J236" s="148">
        <f t="shared" si="101"/>
        <v>1.1</v>
      </c>
      <c r="K236" s="148">
        <f t="shared" si="102"/>
        <v>0</v>
      </c>
      <c r="L236" s="148">
        <f t="shared" si="103"/>
        <v>0</v>
      </c>
      <c r="M236" s="148">
        <f t="shared" si="104"/>
        <v>4.4</v>
      </c>
      <c r="N236" s="148">
        <f t="shared" si="105"/>
        <v>0</v>
      </c>
      <c r="O236" s="148">
        <f t="shared" si="106"/>
        <v>4.4</v>
      </c>
    </row>
    <row r="237" spans="1:15" s="15" customFormat="1" ht="38.25">
      <c r="A237" s="65" t="s">
        <v>509</v>
      </c>
      <c r="B237" s="22" t="s">
        <v>321</v>
      </c>
      <c r="C237" s="155" t="s">
        <v>42</v>
      </c>
      <c r="D237" s="45">
        <f>SUM(D238:D242)</f>
        <v>22</v>
      </c>
      <c r="E237" s="155">
        <v>1.3</v>
      </c>
      <c r="F237" s="45">
        <f>$F$1</f>
        <v>3.8</v>
      </c>
      <c r="G237" s="45">
        <f>ROUND(E237*F237,2)</f>
        <v>4.94</v>
      </c>
      <c r="H237" s="45"/>
      <c r="I237" s="45">
        <f>ROUND(G237*$I$1,2)</f>
        <v>0.4</v>
      </c>
      <c r="J237" s="135">
        <f aca="true" t="shared" si="108" ref="J237:J243">SUM(G237:I237)</f>
        <v>5.34</v>
      </c>
      <c r="K237" s="135">
        <f aca="true" t="shared" si="109" ref="K237:K243">ROUND(D237*E237,2)</f>
        <v>28.6</v>
      </c>
      <c r="L237" s="135">
        <f aca="true" t="shared" si="110" ref="L237:L243">ROUND(D237*G237,2)</f>
        <v>108.68</v>
      </c>
      <c r="M237" s="135">
        <f aca="true" t="shared" si="111" ref="M237:M243">ROUND(D237*H237,2)</f>
        <v>0</v>
      </c>
      <c r="N237" s="135">
        <f aca="true" t="shared" si="112" ref="N237:N243">ROUND(I237*D237,2)</f>
        <v>8.8</v>
      </c>
      <c r="O237" s="135">
        <f aca="true" t="shared" si="113" ref="O237:O243">SUM(L237:N237)</f>
        <v>117.48</v>
      </c>
    </row>
    <row r="238" spans="1:15" s="129" customFormat="1" ht="25.5">
      <c r="A238" s="65" t="s">
        <v>510</v>
      </c>
      <c r="B238" s="162" t="s">
        <v>157</v>
      </c>
      <c r="C238" s="54" t="s">
        <v>148</v>
      </c>
      <c r="D238" s="163">
        <v>4</v>
      </c>
      <c r="E238" s="154"/>
      <c r="F238" s="154"/>
      <c r="G238" s="154"/>
      <c r="H238" s="154">
        <v>5.2</v>
      </c>
      <c r="I238" s="148">
        <f aca="true" t="shared" si="114" ref="I238:I243">ROUND(G238*$I$1,2)</f>
        <v>0</v>
      </c>
      <c r="J238" s="148">
        <f t="shared" si="108"/>
        <v>5.2</v>
      </c>
      <c r="K238" s="148">
        <f t="shared" si="109"/>
        <v>0</v>
      </c>
      <c r="L238" s="148">
        <f t="shared" si="110"/>
        <v>0</v>
      </c>
      <c r="M238" s="148">
        <f t="shared" si="111"/>
        <v>20.8</v>
      </c>
      <c r="N238" s="148">
        <f t="shared" si="112"/>
        <v>0</v>
      </c>
      <c r="O238" s="148">
        <f t="shared" si="113"/>
        <v>20.8</v>
      </c>
    </row>
    <row r="239" spans="1:15" s="129" customFormat="1" ht="12.75">
      <c r="A239" s="65" t="s">
        <v>511</v>
      </c>
      <c r="B239" s="162" t="s">
        <v>182</v>
      </c>
      <c r="C239" s="54" t="s">
        <v>148</v>
      </c>
      <c r="D239" s="163">
        <v>1</v>
      </c>
      <c r="E239" s="154"/>
      <c r="F239" s="154"/>
      <c r="G239" s="154"/>
      <c r="H239" s="154">
        <v>33.2</v>
      </c>
      <c r="I239" s="148">
        <f t="shared" si="114"/>
        <v>0</v>
      </c>
      <c r="J239" s="148">
        <f t="shared" si="108"/>
        <v>33.2</v>
      </c>
      <c r="K239" s="148">
        <f t="shared" si="109"/>
        <v>0</v>
      </c>
      <c r="L239" s="148">
        <f t="shared" si="110"/>
        <v>0</v>
      </c>
      <c r="M239" s="148">
        <f t="shared" si="111"/>
        <v>33.2</v>
      </c>
      <c r="N239" s="148">
        <f t="shared" si="112"/>
        <v>0</v>
      </c>
      <c r="O239" s="148">
        <f t="shared" si="113"/>
        <v>33.2</v>
      </c>
    </row>
    <row r="240" spans="1:15" s="129" customFormat="1" ht="25.5">
      <c r="A240" s="65" t="s">
        <v>512</v>
      </c>
      <c r="B240" s="162" t="s">
        <v>172</v>
      </c>
      <c r="C240" s="54" t="s">
        <v>148</v>
      </c>
      <c r="D240" s="163">
        <v>2</v>
      </c>
      <c r="E240" s="154"/>
      <c r="F240" s="154"/>
      <c r="G240" s="154"/>
      <c r="H240" s="154">
        <v>3.45</v>
      </c>
      <c r="I240" s="148">
        <f t="shared" si="114"/>
        <v>0</v>
      </c>
      <c r="J240" s="148">
        <f t="shared" si="108"/>
        <v>3.45</v>
      </c>
      <c r="K240" s="148">
        <f t="shared" si="109"/>
        <v>0</v>
      </c>
      <c r="L240" s="148">
        <f t="shared" si="110"/>
        <v>0</v>
      </c>
      <c r="M240" s="148">
        <f t="shared" si="111"/>
        <v>6.9</v>
      </c>
      <c r="N240" s="148">
        <f t="shared" si="112"/>
        <v>0</v>
      </c>
      <c r="O240" s="148">
        <f t="shared" si="113"/>
        <v>6.9</v>
      </c>
    </row>
    <row r="241" spans="1:15" s="129" customFormat="1" ht="12.75">
      <c r="A241" s="65" t="s">
        <v>513</v>
      </c>
      <c r="B241" s="162" t="s">
        <v>158</v>
      </c>
      <c r="C241" s="54" t="s">
        <v>148</v>
      </c>
      <c r="D241" s="163">
        <v>5</v>
      </c>
      <c r="E241" s="154"/>
      <c r="F241" s="154"/>
      <c r="G241" s="154"/>
      <c r="H241" s="154">
        <v>0.25</v>
      </c>
      <c r="I241" s="148">
        <f t="shared" si="114"/>
        <v>0</v>
      </c>
      <c r="J241" s="148">
        <f t="shared" si="108"/>
        <v>0.25</v>
      </c>
      <c r="K241" s="148">
        <f t="shared" si="109"/>
        <v>0</v>
      </c>
      <c r="L241" s="148">
        <f t="shared" si="110"/>
        <v>0</v>
      </c>
      <c r="M241" s="148">
        <f t="shared" si="111"/>
        <v>1.25</v>
      </c>
      <c r="N241" s="148">
        <f t="shared" si="112"/>
        <v>0</v>
      </c>
      <c r="O241" s="148">
        <f t="shared" si="113"/>
        <v>1.25</v>
      </c>
    </row>
    <row r="242" spans="1:15" s="129" customFormat="1" ht="25.5">
      <c r="A242" s="65" t="s">
        <v>514</v>
      </c>
      <c r="B242" s="162" t="s">
        <v>159</v>
      </c>
      <c r="C242" s="54" t="s">
        <v>148</v>
      </c>
      <c r="D242" s="163">
        <v>10</v>
      </c>
      <c r="E242" s="154"/>
      <c r="F242" s="154"/>
      <c r="G242" s="154"/>
      <c r="H242" s="154">
        <v>12.6</v>
      </c>
      <c r="I242" s="148">
        <f t="shared" si="114"/>
        <v>0</v>
      </c>
      <c r="J242" s="148">
        <f t="shared" si="108"/>
        <v>12.6</v>
      </c>
      <c r="K242" s="148">
        <f t="shared" si="109"/>
        <v>0</v>
      </c>
      <c r="L242" s="148">
        <f t="shared" si="110"/>
        <v>0</v>
      </c>
      <c r="M242" s="148">
        <f t="shared" si="111"/>
        <v>126</v>
      </c>
      <c r="N242" s="148">
        <f t="shared" si="112"/>
        <v>0</v>
      </c>
      <c r="O242" s="148">
        <f t="shared" si="113"/>
        <v>126</v>
      </c>
    </row>
    <row r="243" spans="1:15" s="129" customFormat="1" ht="12.75">
      <c r="A243" s="65" t="s">
        <v>515</v>
      </c>
      <c r="B243" s="162" t="s">
        <v>160</v>
      </c>
      <c r="C243" s="54" t="s">
        <v>148</v>
      </c>
      <c r="D243" s="163">
        <v>50</v>
      </c>
      <c r="E243" s="154"/>
      <c r="F243" s="154"/>
      <c r="G243" s="154"/>
      <c r="H243" s="154">
        <v>0.22</v>
      </c>
      <c r="I243" s="148">
        <f t="shared" si="114"/>
        <v>0</v>
      </c>
      <c r="J243" s="148">
        <f t="shared" si="108"/>
        <v>0.22</v>
      </c>
      <c r="K243" s="148">
        <f t="shared" si="109"/>
        <v>0</v>
      </c>
      <c r="L243" s="148">
        <f t="shared" si="110"/>
        <v>0</v>
      </c>
      <c r="M243" s="148">
        <f t="shared" si="111"/>
        <v>11</v>
      </c>
      <c r="N243" s="148">
        <f t="shared" si="112"/>
        <v>0</v>
      </c>
      <c r="O243" s="148">
        <f t="shared" si="113"/>
        <v>11</v>
      </c>
    </row>
    <row r="244" spans="1:15" s="15" customFormat="1" ht="38.25">
      <c r="A244" s="65" t="s">
        <v>516</v>
      </c>
      <c r="B244" s="22" t="s">
        <v>322</v>
      </c>
      <c r="C244" s="155" t="s">
        <v>36</v>
      </c>
      <c r="D244" s="165">
        <f>SUM(D245:D249)</f>
        <v>250</v>
      </c>
      <c r="E244" s="155">
        <v>0.25</v>
      </c>
      <c r="F244" s="45">
        <f>$F$1</f>
        <v>3.8</v>
      </c>
      <c r="G244" s="45">
        <f>ROUND(E244*F244,2)</f>
        <v>0.95</v>
      </c>
      <c r="H244" s="45"/>
      <c r="I244" s="45">
        <f>ROUND(G244*$I$1,2)+0.2</f>
        <v>0.28</v>
      </c>
      <c r="J244" s="135">
        <f aca="true" t="shared" si="115" ref="J244:J249">SUM(G244:I244)</f>
        <v>1.23</v>
      </c>
      <c r="K244" s="135">
        <f aca="true" t="shared" si="116" ref="K244:K249">ROUND(D244*E244,2)</f>
        <v>62.5</v>
      </c>
      <c r="L244" s="135">
        <f aca="true" t="shared" si="117" ref="L244:L249">ROUND(D244*G244,2)</f>
        <v>237.5</v>
      </c>
      <c r="M244" s="135">
        <f aca="true" t="shared" si="118" ref="M244:M249">ROUND(D244*H244,2)</f>
        <v>0</v>
      </c>
      <c r="N244" s="135">
        <f aca="true" t="shared" si="119" ref="N244:N249">ROUND(I244*D244,2)</f>
        <v>70</v>
      </c>
      <c r="O244" s="135">
        <f aca="true" t="shared" si="120" ref="O244:O249">SUM(L244:N244)</f>
        <v>307.5</v>
      </c>
    </row>
    <row r="245" spans="1:15" s="129" customFormat="1" ht="12.75">
      <c r="A245" s="65" t="s">
        <v>517</v>
      </c>
      <c r="B245" s="162" t="s">
        <v>161</v>
      </c>
      <c r="C245" s="54" t="s">
        <v>36</v>
      </c>
      <c r="D245" s="166">
        <v>10</v>
      </c>
      <c r="E245" s="154"/>
      <c r="F245" s="154"/>
      <c r="G245" s="154"/>
      <c r="H245" s="154">
        <v>1.18</v>
      </c>
      <c r="I245" s="148">
        <f>ROUND(G245*$I$1,2)</f>
        <v>0</v>
      </c>
      <c r="J245" s="148">
        <f t="shared" si="115"/>
        <v>1.18</v>
      </c>
      <c r="K245" s="148">
        <f t="shared" si="116"/>
        <v>0</v>
      </c>
      <c r="L245" s="148">
        <f t="shared" si="117"/>
        <v>0</v>
      </c>
      <c r="M245" s="148">
        <f t="shared" si="118"/>
        <v>11.8</v>
      </c>
      <c r="N245" s="148">
        <f t="shared" si="119"/>
        <v>0</v>
      </c>
      <c r="O245" s="148">
        <f t="shared" si="120"/>
        <v>11.8</v>
      </c>
    </row>
    <row r="246" spans="1:15" s="129" customFormat="1" ht="12.75">
      <c r="A246" s="65" t="s">
        <v>518</v>
      </c>
      <c r="B246" s="164" t="s">
        <v>162</v>
      </c>
      <c r="C246" s="54" t="s">
        <v>36</v>
      </c>
      <c r="D246" s="166">
        <v>50</v>
      </c>
      <c r="E246" s="154"/>
      <c r="F246" s="154"/>
      <c r="G246" s="154"/>
      <c r="H246" s="154">
        <v>0.72</v>
      </c>
      <c r="I246" s="148">
        <f>ROUND(G246*$I$1,2)</f>
        <v>0</v>
      </c>
      <c r="J246" s="148">
        <f t="shared" si="115"/>
        <v>0.72</v>
      </c>
      <c r="K246" s="148">
        <f t="shared" si="116"/>
        <v>0</v>
      </c>
      <c r="L246" s="148">
        <f t="shared" si="117"/>
        <v>0</v>
      </c>
      <c r="M246" s="148">
        <f t="shared" si="118"/>
        <v>36</v>
      </c>
      <c r="N246" s="148">
        <f t="shared" si="119"/>
        <v>0</v>
      </c>
      <c r="O246" s="148">
        <f t="shared" si="120"/>
        <v>36</v>
      </c>
    </row>
    <row r="247" spans="1:15" s="129" customFormat="1" ht="12.75">
      <c r="A247" s="65" t="s">
        <v>519</v>
      </c>
      <c r="B247" s="164" t="s">
        <v>163</v>
      </c>
      <c r="C247" s="54" t="s">
        <v>36</v>
      </c>
      <c r="D247" s="166">
        <v>150</v>
      </c>
      <c r="E247" s="154"/>
      <c r="F247" s="154"/>
      <c r="G247" s="154"/>
      <c r="H247" s="154">
        <v>0.44</v>
      </c>
      <c r="I247" s="148">
        <f>ROUND(G247*$I$1,2)</f>
        <v>0</v>
      </c>
      <c r="J247" s="148">
        <f t="shared" si="115"/>
        <v>0.44</v>
      </c>
      <c r="K247" s="148">
        <f t="shared" si="116"/>
        <v>0</v>
      </c>
      <c r="L247" s="148">
        <f t="shared" si="117"/>
        <v>0</v>
      </c>
      <c r="M247" s="148">
        <f t="shared" si="118"/>
        <v>66</v>
      </c>
      <c r="N247" s="148">
        <f t="shared" si="119"/>
        <v>0</v>
      </c>
      <c r="O247" s="148">
        <f t="shared" si="120"/>
        <v>66</v>
      </c>
    </row>
    <row r="248" spans="1:15" s="129" customFormat="1" ht="12.75">
      <c r="A248" s="65" t="s">
        <v>520</v>
      </c>
      <c r="B248" s="164" t="s">
        <v>165</v>
      </c>
      <c r="C248" s="54" t="s">
        <v>36</v>
      </c>
      <c r="D248" s="166">
        <v>10</v>
      </c>
      <c r="E248" s="154"/>
      <c r="F248" s="154"/>
      <c r="G248" s="154"/>
      <c r="H248" s="154">
        <v>2.25</v>
      </c>
      <c r="I248" s="148">
        <f>ROUND(G248*$I$1,2)</f>
        <v>0</v>
      </c>
      <c r="J248" s="148">
        <f t="shared" si="115"/>
        <v>2.25</v>
      </c>
      <c r="K248" s="148">
        <f t="shared" si="116"/>
        <v>0</v>
      </c>
      <c r="L248" s="148">
        <f t="shared" si="117"/>
        <v>0</v>
      </c>
      <c r="M248" s="148">
        <f t="shared" si="118"/>
        <v>22.5</v>
      </c>
      <c r="N248" s="148">
        <f t="shared" si="119"/>
        <v>0</v>
      </c>
      <c r="O248" s="148">
        <f t="shared" si="120"/>
        <v>22.5</v>
      </c>
    </row>
    <row r="249" spans="1:15" s="129" customFormat="1" ht="12.75">
      <c r="A249" s="65" t="s">
        <v>521</v>
      </c>
      <c r="B249" s="164" t="s">
        <v>166</v>
      </c>
      <c r="C249" s="54" t="s">
        <v>36</v>
      </c>
      <c r="D249" s="166">
        <v>30</v>
      </c>
      <c r="E249" s="154"/>
      <c r="F249" s="154"/>
      <c r="G249" s="154"/>
      <c r="H249" s="154">
        <v>1.15</v>
      </c>
      <c r="I249" s="148">
        <f>ROUND(G249*$I$1,2)</f>
        <v>0</v>
      </c>
      <c r="J249" s="148">
        <f t="shared" si="115"/>
        <v>1.15</v>
      </c>
      <c r="K249" s="148">
        <f t="shared" si="116"/>
        <v>0</v>
      </c>
      <c r="L249" s="148">
        <f t="shared" si="117"/>
        <v>0</v>
      </c>
      <c r="M249" s="148">
        <f t="shared" si="118"/>
        <v>34.5</v>
      </c>
      <c r="N249" s="148">
        <f t="shared" si="119"/>
        <v>0</v>
      </c>
      <c r="O249" s="148">
        <f t="shared" si="120"/>
        <v>34.5</v>
      </c>
    </row>
    <row r="250" spans="1:15" s="15" customFormat="1" ht="51">
      <c r="A250" s="65" t="s">
        <v>522</v>
      </c>
      <c r="B250" s="22" t="s">
        <v>323</v>
      </c>
      <c r="C250" s="155" t="s">
        <v>36</v>
      </c>
      <c r="D250" s="165">
        <v>5</v>
      </c>
      <c r="E250" s="155">
        <v>0.32</v>
      </c>
      <c r="F250" s="45">
        <f>$F$1</f>
        <v>3.8</v>
      </c>
      <c r="G250" s="45">
        <f>ROUND(E250*F250,2)</f>
        <v>1.22</v>
      </c>
      <c r="H250" s="45"/>
      <c r="I250" s="45">
        <f>ROUND(G250*$I$1,2)+0.3</f>
        <v>0.4</v>
      </c>
      <c r="J250" s="135">
        <f aca="true" t="shared" si="121" ref="J250:J258">SUM(G250:I250)</f>
        <v>1.62</v>
      </c>
      <c r="K250" s="135">
        <f aca="true" t="shared" si="122" ref="K250:K258">ROUND(D250*E250,2)</f>
        <v>1.6</v>
      </c>
      <c r="L250" s="135">
        <f aca="true" t="shared" si="123" ref="L250:L258">ROUND(D250*G250,2)</f>
        <v>6.1</v>
      </c>
      <c r="M250" s="135">
        <f aca="true" t="shared" si="124" ref="M250:M258">ROUND(D250*H250,2)</f>
        <v>0</v>
      </c>
      <c r="N250" s="135">
        <f aca="true" t="shared" si="125" ref="N250:N258">ROUND(I250*D250,2)</f>
        <v>2</v>
      </c>
      <c r="O250" s="135">
        <f aca="true" t="shared" si="126" ref="O250:O258">SUM(L250:N250)</f>
        <v>8.1</v>
      </c>
    </row>
    <row r="251" spans="1:15" s="129" customFormat="1" ht="12.75">
      <c r="A251" s="65" t="s">
        <v>523</v>
      </c>
      <c r="B251" s="164" t="s">
        <v>164</v>
      </c>
      <c r="C251" s="54" t="s">
        <v>36</v>
      </c>
      <c r="D251" s="166">
        <v>5</v>
      </c>
      <c r="E251" s="154"/>
      <c r="F251" s="154"/>
      <c r="G251" s="154"/>
      <c r="H251" s="154">
        <v>4.8</v>
      </c>
      <c r="I251" s="148">
        <f aca="true" t="shared" si="127" ref="I251:I258">ROUND(G251*$I$1,2)</f>
        <v>0</v>
      </c>
      <c r="J251" s="148">
        <f t="shared" si="121"/>
        <v>4.8</v>
      </c>
      <c r="K251" s="148">
        <f t="shared" si="122"/>
        <v>0</v>
      </c>
      <c r="L251" s="148">
        <f t="shared" si="123"/>
        <v>0</v>
      </c>
      <c r="M251" s="148">
        <f t="shared" si="124"/>
        <v>24</v>
      </c>
      <c r="N251" s="148">
        <f t="shared" si="125"/>
        <v>0</v>
      </c>
      <c r="O251" s="148">
        <f t="shared" si="126"/>
        <v>24</v>
      </c>
    </row>
    <row r="252" spans="1:15" s="15" customFormat="1" ht="38.25">
      <c r="A252" s="65" t="s">
        <v>524</v>
      </c>
      <c r="B252" s="22" t="s">
        <v>324</v>
      </c>
      <c r="C252" s="155"/>
      <c r="D252" s="165">
        <f>SUM(D253:D254)</f>
        <v>110</v>
      </c>
      <c r="E252" s="155">
        <v>0.25</v>
      </c>
      <c r="F252" s="45">
        <f>$F$1</f>
        <v>3.8</v>
      </c>
      <c r="G252" s="45">
        <f>ROUND(E252*F252,2)</f>
        <v>0.95</v>
      </c>
      <c r="H252" s="45"/>
      <c r="I252" s="45">
        <f t="shared" si="127"/>
        <v>0.08</v>
      </c>
      <c r="J252" s="135">
        <f t="shared" si="121"/>
        <v>1.03</v>
      </c>
      <c r="K252" s="135">
        <f t="shared" si="122"/>
        <v>27.5</v>
      </c>
      <c r="L252" s="135">
        <f t="shared" si="123"/>
        <v>104.5</v>
      </c>
      <c r="M252" s="135">
        <f t="shared" si="124"/>
        <v>0</v>
      </c>
      <c r="N252" s="135">
        <f t="shared" si="125"/>
        <v>8.8</v>
      </c>
      <c r="O252" s="135">
        <f t="shared" si="126"/>
        <v>113.3</v>
      </c>
    </row>
    <row r="253" spans="1:15" s="129" customFormat="1" ht="12.75">
      <c r="A253" s="65" t="s">
        <v>525</v>
      </c>
      <c r="B253" s="162" t="s">
        <v>167</v>
      </c>
      <c r="C253" s="54" t="s">
        <v>36</v>
      </c>
      <c r="D253" s="166">
        <v>100</v>
      </c>
      <c r="E253" s="154"/>
      <c r="F253" s="154"/>
      <c r="G253" s="154"/>
      <c r="H253" s="154">
        <v>0.68</v>
      </c>
      <c r="I253" s="148">
        <f t="shared" si="127"/>
        <v>0</v>
      </c>
      <c r="J253" s="148">
        <f t="shared" si="121"/>
        <v>0.68</v>
      </c>
      <c r="K253" s="148">
        <f t="shared" si="122"/>
        <v>0</v>
      </c>
      <c r="L253" s="148">
        <f t="shared" si="123"/>
        <v>0</v>
      </c>
      <c r="M253" s="148">
        <f t="shared" si="124"/>
        <v>68</v>
      </c>
      <c r="N253" s="148">
        <f t="shared" si="125"/>
        <v>0</v>
      </c>
      <c r="O253" s="148">
        <f t="shared" si="126"/>
        <v>68</v>
      </c>
    </row>
    <row r="254" spans="1:15" s="129" customFormat="1" ht="12.75">
      <c r="A254" s="65" t="s">
        <v>526</v>
      </c>
      <c r="B254" s="162" t="s">
        <v>168</v>
      </c>
      <c r="C254" s="54" t="s">
        <v>36</v>
      </c>
      <c r="D254" s="166">
        <v>10</v>
      </c>
      <c r="E254" s="154"/>
      <c r="F254" s="154"/>
      <c r="G254" s="154"/>
      <c r="H254" s="154">
        <v>0.76</v>
      </c>
      <c r="I254" s="148">
        <f t="shared" si="127"/>
        <v>0</v>
      </c>
      <c r="J254" s="148">
        <f t="shared" si="121"/>
        <v>0.76</v>
      </c>
      <c r="K254" s="148">
        <f t="shared" si="122"/>
        <v>0</v>
      </c>
      <c r="L254" s="148">
        <f t="shared" si="123"/>
        <v>0</v>
      </c>
      <c r="M254" s="148">
        <f t="shared" si="124"/>
        <v>7.6</v>
      </c>
      <c r="N254" s="148">
        <f t="shared" si="125"/>
        <v>0</v>
      </c>
      <c r="O254" s="148">
        <f t="shared" si="126"/>
        <v>7.6</v>
      </c>
    </row>
    <row r="255" spans="1:15" s="15" customFormat="1" ht="38.25">
      <c r="A255" s="65" t="s">
        <v>527</v>
      </c>
      <c r="B255" s="22" t="s">
        <v>325</v>
      </c>
      <c r="C255" s="155"/>
      <c r="D255" s="165">
        <f>SUM(D256:D258)</f>
        <v>75</v>
      </c>
      <c r="E255" s="155">
        <v>0.65</v>
      </c>
      <c r="F255" s="45">
        <f>$F$1</f>
        <v>3.8</v>
      </c>
      <c r="G255" s="45">
        <f>ROUND(E255*F255,2)</f>
        <v>2.47</v>
      </c>
      <c r="H255" s="45"/>
      <c r="I255" s="45">
        <f t="shared" si="127"/>
        <v>0.2</v>
      </c>
      <c r="J255" s="135">
        <f t="shared" si="121"/>
        <v>2.67</v>
      </c>
      <c r="K255" s="135">
        <f t="shared" si="122"/>
        <v>48.75</v>
      </c>
      <c r="L255" s="135">
        <f t="shared" si="123"/>
        <v>185.25</v>
      </c>
      <c r="M255" s="135">
        <f t="shared" si="124"/>
        <v>0</v>
      </c>
      <c r="N255" s="135">
        <f t="shared" si="125"/>
        <v>15</v>
      </c>
      <c r="O255" s="135">
        <f t="shared" si="126"/>
        <v>200.25</v>
      </c>
    </row>
    <row r="256" spans="1:15" s="129" customFormat="1" ht="12.75">
      <c r="A256" s="65" t="s">
        <v>528</v>
      </c>
      <c r="B256" s="162" t="s">
        <v>169</v>
      </c>
      <c r="C256" s="54" t="s">
        <v>148</v>
      </c>
      <c r="D256" s="166">
        <v>15</v>
      </c>
      <c r="E256" s="154"/>
      <c r="F256" s="154"/>
      <c r="G256" s="154"/>
      <c r="H256" s="154">
        <v>0.56</v>
      </c>
      <c r="I256" s="148">
        <f t="shared" si="127"/>
        <v>0</v>
      </c>
      <c r="J256" s="148">
        <f t="shared" si="121"/>
        <v>0.56</v>
      </c>
      <c r="K256" s="148">
        <f t="shared" si="122"/>
        <v>0</v>
      </c>
      <c r="L256" s="148">
        <f t="shared" si="123"/>
        <v>0</v>
      </c>
      <c r="M256" s="148">
        <f t="shared" si="124"/>
        <v>8.4</v>
      </c>
      <c r="N256" s="148">
        <f t="shared" si="125"/>
        <v>0</v>
      </c>
      <c r="O256" s="148">
        <f t="shared" si="126"/>
        <v>8.4</v>
      </c>
    </row>
    <row r="257" spans="1:15" s="129" customFormat="1" ht="12.75">
      <c r="A257" s="65" t="s">
        <v>529</v>
      </c>
      <c r="B257" s="162" t="s">
        <v>170</v>
      </c>
      <c r="C257" s="54" t="s">
        <v>148</v>
      </c>
      <c r="D257" s="163">
        <v>50</v>
      </c>
      <c r="E257" s="154"/>
      <c r="F257" s="154"/>
      <c r="G257" s="154"/>
      <c r="H257" s="154">
        <v>0.42</v>
      </c>
      <c r="I257" s="148">
        <f t="shared" si="127"/>
        <v>0</v>
      </c>
      <c r="J257" s="148">
        <f t="shared" si="121"/>
        <v>0.42</v>
      </c>
      <c r="K257" s="148">
        <f t="shared" si="122"/>
        <v>0</v>
      </c>
      <c r="L257" s="148">
        <f t="shared" si="123"/>
        <v>0</v>
      </c>
      <c r="M257" s="148">
        <f t="shared" si="124"/>
        <v>21</v>
      </c>
      <c r="N257" s="148">
        <f t="shared" si="125"/>
        <v>0</v>
      </c>
      <c r="O257" s="148">
        <f t="shared" si="126"/>
        <v>21</v>
      </c>
    </row>
    <row r="258" spans="1:15" s="129" customFormat="1" ht="12.75">
      <c r="A258" s="65" t="s">
        <v>530</v>
      </c>
      <c r="B258" s="162" t="s">
        <v>171</v>
      </c>
      <c r="C258" s="54" t="s">
        <v>148</v>
      </c>
      <c r="D258" s="163">
        <v>10</v>
      </c>
      <c r="E258" s="154"/>
      <c r="F258" s="154"/>
      <c r="G258" s="154"/>
      <c r="H258" s="154">
        <v>0.18</v>
      </c>
      <c r="I258" s="148">
        <f t="shared" si="127"/>
        <v>0</v>
      </c>
      <c r="J258" s="148">
        <f t="shared" si="121"/>
        <v>0.18</v>
      </c>
      <c r="K258" s="148">
        <f t="shared" si="122"/>
        <v>0</v>
      </c>
      <c r="L258" s="148">
        <f t="shared" si="123"/>
        <v>0</v>
      </c>
      <c r="M258" s="148">
        <f t="shared" si="124"/>
        <v>1.8</v>
      </c>
      <c r="N258" s="148">
        <f t="shared" si="125"/>
        <v>0</v>
      </c>
      <c r="O258" s="148">
        <f t="shared" si="126"/>
        <v>1.8</v>
      </c>
    </row>
    <row r="259" spans="1:15" s="15" customFormat="1" ht="25.5">
      <c r="A259" s="65" t="s">
        <v>531</v>
      </c>
      <c r="B259" s="22" t="s">
        <v>326</v>
      </c>
      <c r="C259" s="155" t="s">
        <v>36</v>
      </c>
      <c r="D259" s="165">
        <v>30</v>
      </c>
      <c r="E259" s="155">
        <v>0.35</v>
      </c>
      <c r="F259" s="45">
        <f>$F$1</f>
        <v>3.8</v>
      </c>
      <c r="G259" s="45">
        <f>ROUND(E259*F259,2)</f>
        <v>1.33</v>
      </c>
      <c r="H259" s="45"/>
      <c r="I259" s="45">
        <f>ROUND(G259*$I$1,2)+0.5</f>
        <v>0.61</v>
      </c>
      <c r="J259" s="135">
        <f aca="true" t="shared" si="128" ref="J259:J268">SUM(G259:I259)</f>
        <v>1.94</v>
      </c>
      <c r="K259" s="135">
        <f aca="true" t="shared" si="129" ref="K259:K268">ROUND(D259*E259,2)</f>
        <v>10.5</v>
      </c>
      <c r="L259" s="135">
        <f aca="true" t="shared" si="130" ref="L259:L268">ROUND(D259*G259,2)</f>
        <v>39.9</v>
      </c>
      <c r="M259" s="135">
        <f aca="true" t="shared" si="131" ref="M259:M268">ROUND(D259*H259,2)</f>
        <v>0</v>
      </c>
      <c r="N259" s="135">
        <f aca="true" t="shared" si="132" ref="N259:N268">ROUND(I259*D259,2)</f>
        <v>18.3</v>
      </c>
      <c r="O259" s="135">
        <f aca="true" t="shared" si="133" ref="O259:O268">SUM(L259:N259)</f>
        <v>58.2</v>
      </c>
    </row>
    <row r="260" spans="1:15" s="15" customFormat="1" ht="25.5">
      <c r="A260" s="65" t="s">
        <v>532</v>
      </c>
      <c r="B260" s="22" t="s">
        <v>327</v>
      </c>
      <c r="C260" s="155" t="s">
        <v>36</v>
      </c>
      <c r="D260" s="165">
        <v>30</v>
      </c>
      <c r="E260" s="155">
        <v>0.25</v>
      </c>
      <c r="F260" s="45">
        <f>$F$1</f>
        <v>3.8</v>
      </c>
      <c r="G260" s="45">
        <f>ROUND(E260*F260,2)</f>
        <v>0.95</v>
      </c>
      <c r="H260" s="45"/>
      <c r="I260" s="45">
        <f>ROUND(G260*$I$1,2)+0.5</f>
        <v>0.58</v>
      </c>
      <c r="J260" s="135">
        <f t="shared" si="128"/>
        <v>1.53</v>
      </c>
      <c r="K260" s="135">
        <f t="shared" si="129"/>
        <v>7.5</v>
      </c>
      <c r="L260" s="135">
        <f t="shared" si="130"/>
        <v>28.5</v>
      </c>
      <c r="M260" s="135">
        <f t="shared" si="131"/>
        <v>0</v>
      </c>
      <c r="N260" s="135">
        <f t="shared" si="132"/>
        <v>17.4</v>
      </c>
      <c r="O260" s="135">
        <f t="shared" si="133"/>
        <v>45.9</v>
      </c>
    </row>
    <row r="261" spans="1:15" s="15" customFormat="1" ht="51">
      <c r="A261" s="65" t="s">
        <v>533</v>
      </c>
      <c r="B261" s="22" t="s">
        <v>328</v>
      </c>
      <c r="C261" s="155" t="s">
        <v>243</v>
      </c>
      <c r="D261" s="165">
        <v>1</v>
      </c>
      <c r="E261" s="155">
        <v>16</v>
      </c>
      <c r="F261" s="45">
        <f>$F$1</f>
        <v>3.8</v>
      </c>
      <c r="G261" s="45">
        <f>ROUND(E261*F261,2)</f>
        <v>60.8</v>
      </c>
      <c r="H261" s="45"/>
      <c r="I261" s="45">
        <f>ROUND(G261*$I$1,2)</f>
        <v>4.86</v>
      </c>
      <c r="J261" s="135">
        <f t="shared" si="128"/>
        <v>65.66</v>
      </c>
      <c r="K261" s="135">
        <f t="shared" si="129"/>
        <v>16</v>
      </c>
      <c r="L261" s="135">
        <f t="shared" si="130"/>
        <v>60.8</v>
      </c>
      <c r="M261" s="135">
        <f t="shared" si="131"/>
        <v>0</v>
      </c>
      <c r="N261" s="135">
        <f t="shared" si="132"/>
        <v>4.86</v>
      </c>
      <c r="O261" s="135">
        <f t="shared" si="133"/>
        <v>65.66</v>
      </c>
    </row>
    <row r="262" spans="1:16" s="129" customFormat="1" ht="12.75">
      <c r="A262" s="65" t="s">
        <v>534</v>
      </c>
      <c r="B262" s="162" t="s">
        <v>173</v>
      </c>
      <c r="C262" s="54" t="s">
        <v>148</v>
      </c>
      <c r="D262" s="163">
        <v>10</v>
      </c>
      <c r="E262" s="154"/>
      <c r="F262" s="154"/>
      <c r="G262" s="154"/>
      <c r="H262" s="154">
        <v>6.46</v>
      </c>
      <c r="I262" s="148">
        <f aca="true" t="shared" si="134" ref="I262:I268">ROUND(G262*$I$1,2)</f>
        <v>0</v>
      </c>
      <c r="J262" s="148">
        <f t="shared" si="128"/>
        <v>6.46</v>
      </c>
      <c r="K262" s="148">
        <f t="shared" si="129"/>
        <v>0</v>
      </c>
      <c r="L262" s="148">
        <f t="shared" si="130"/>
        <v>0</v>
      </c>
      <c r="M262" s="148">
        <f t="shared" si="131"/>
        <v>64.6</v>
      </c>
      <c r="N262" s="148">
        <f t="shared" si="132"/>
        <v>0</v>
      </c>
      <c r="O262" s="148">
        <f t="shared" si="133"/>
        <v>64.6</v>
      </c>
      <c r="P262" s="131"/>
    </row>
    <row r="263" spans="1:15" s="132" customFormat="1" ht="12.75">
      <c r="A263" s="65" t="s">
        <v>535</v>
      </c>
      <c r="B263" s="162" t="s">
        <v>174</v>
      </c>
      <c r="C263" s="54" t="s">
        <v>36</v>
      </c>
      <c r="D263" s="163">
        <v>40</v>
      </c>
      <c r="E263" s="154"/>
      <c r="F263" s="154"/>
      <c r="G263" s="154"/>
      <c r="H263" s="154">
        <v>0.94</v>
      </c>
      <c r="I263" s="148">
        <f t="shared" si="134"/>
        <v>0</v>
      </c>
      <c r="J263" s="148">
        <f t="shared" si="128"/>
        <v>0.94</v>
      </c>
      <c r="K263" s="148">
        <f t="shared" si="129"/>
        <v>0</v>
      </c>
      <c r="L263" s="148">
        <f t="shared" si="130"/>
        <v>0</v>
      </c>
      <c r="M263" s="148">
        <f t="shared" si="131"/>
        <v>37.6</v>
      </c>
      <c r="N263" s="148">
        <f t="shared" si="132"/>
        <v>0</v>
      </c>
      <c r="O263" s="148">
        <f t="shared" si="133"/>
        <v>37.6</v>
      </c>
    </row>
    <row r="264" spans="1:15" s="129" customFormat="1" ht="12.75">
      <c r="A264" s="65" t="s">
        <v>536</v>
      </c>
      <c r="B264" s="162" t="s">
        <v>175</v>
      </c>
      <c r="C264" s="54" t="s">
        <v>148</v>
      </c>
      <c r="D264" s="163">
        <v>5</v>
      </c>
      <c r="E264" s="154"/>
      <c r="F264" s="154"/>
      <c r="G264" s="154"/>
      <c r="H264" s="154">
        <v>1.28</v>
      </c>
      <c r="I264" s="148">
        <f t="shared" si="134"/>
        <v>0</v>
      </c>
      <c r="J264" s="148">
        <f t="shared" si="128"/>
        <v>1.28</v>
      </c>
      <c r="K264" s="148">
        <f t="shared" si="129"/>
        <v>0</v>
      </c>
      <c r="L264" s="148">
        <f t="shared" si="130"/>
        <v>0</v>
      </c>
      <c r="M264" s="148">
        <f t="shared" si="131"/>
        <v>6.4</v>
      </c>
      <c r="N264" s="148">
        <f t="shared" si="132"/>
        <v>0</v>
      </c>
      <c r="O264" s="148">
        <f t="shared" si="133"/>
        <v>6.4</v>
      </c>
    </row>
    <row r="265" spans="1:15" s="129" customFormat="1" ht="12.75">
      <c r="A265" s="65" t="s">
        <v>537</v>
      </c>
      <c r="B265" s="162" t="s">
        <v>176</v>
      </c>
      <c r="C265" s="54" t="s">
        <v>148</v>
      </c>
      <c r="D265" s="163">
        <v>2</v>
      </c>
      <c r="E265" s="154"/>
      <c r="F265" s="154"/>
      <c r="G265" s="154"/>
      <c r="H265" s="154">
        <v>4.25</v>
      </c>
      <c r="I265" s="148">
        <f t="shared" si="134"/>
        <v>0</v>
      </c>
      <c r="J265" s="148">
        <f t="shared" si="128"/>
        <v>4.25</v>
      </c>
      <c r="K265" s="148">
        <f t="shared" si="129"/>
        <v>0</v>
      </c>
      <c r="L265" s="148">
        <f t="shared" si="130"/>
        <v>0</v>
      </c>
      <c r="M265" s="148">
        <f t="shared" si="131"/>
        <v>8.5</v>
      </c>
      <c r="N265" s="148">
        <f t="shared" si="132"/>
        <v>0</v>
      </c>
      <c r="O265" s="148">
        <f t="shared" si="133"/>
        <v>8.5</v>
      </c>
    </row>
    <row r="266" spans="1:15" s="129" customFormat="1" ht="12.75">
      <c r="A266" s="65" t="s">
        <v>538</v>
      </c>
      <c r="B266" s="162" t="s">
        <v>177</v>
      </c>
      <c r="C266" s="54" t="s">
        <v>148</v>
      </c>
      <c r="D266" s="163">
        <v>5</v>
      </c>
      <c r="E266" s="154"/>
      <c r="F266" s="154"/>
      <c r="G266" s="154"/>
      <c r="H266" s="154">
        <v>4.62</v>
      </c>
      <c r="I266" s="148">
        <f t="shared" si="134"/>
        <v>0</v>
      </c>
      <c r="J266" s="148">
        <f t="shared" si="128"/>
        <v>4.62</v>
      </c>
      <c r="K266" s="148">
        <f t="shared" si="129"/>
        <v>0</v>
      </c>
      <c r="L266" s="148">
        <f t="shared" si="130"/>
        <v>0</v>
      </c>
      <c r="M266" s="148">
        <f t="shared" si="131"/>
        <v>23.1</v>
      </c>
      <c r="N266" s="148">
        <f t="shared" si="132"/>
        <v>0</v>
      </c>
      <c r="O266" s="148">
        <f t="shared" si="133"/>
        <v>23.1</v>
      </c>
    </row>
    <row r="267" spans="1:15" s="129" customFormat="1" ht="12.75">
      <c r="A267" s="65" t="s">
        <v>539</v>
      </c>
      <c r="B267" s="162" t="s">
        <v>178</v>
      </c>
      <c r="C267" s="54" t="s">
        <v>148</v>
      </c>
      <c r="D267" s="163">
        <v>1</v>
      </c>
      <c r="E267" s="154"/>
      <c r="F267" s="154"/>
      <c r="G267" s="154"/>
      <c r="H267" s="154">
        <v>3.57</v>
      </c>
      <c r="I267" s="148">
        <f t="shared" si="134"/>
        <v>0</v>
      </c>
      <c r="J267" s="148">
        <f t="shared" si="128"/>
        <v>3.57</v>
      </c>
      <c r="K267" s="148">
        <f t="shared" si="129"/>
        <v>0</v>
      </c>
      <c r="L267" s="148">
        <f t="shared" si="130"/>
        <v>0</v>
      </c>
      <c r="M267" s="148">
        <f t="shared" si="131"/>
        <v>3.57</v>
      </c>
      <c r="N267" s="148">
        <f t="shared" si="132"/>
        <v>0</v>
      </c>
      <c r="O267" s="148">
        <f t="shared" si="133"/>
        <v>3.57</v>
      </c>
    </row>
    <row r="268" spans="1:15" s="129" customFormat="1" ht="12.75">
      <c r="A268" s="65" t="s">
        <v>540</v>
      </c>
      <c r="B268" s="162" t="s">
        <v>179</v>
      </c>
      <c r="C268" s="54" t="s">
        <v>148</v>
      </c>
      <c r="D268" s="163">
        <v>1</v>
      </c>
      <c r="E268" s="154"/>
      <c r="F268" s="154"/>
      <c r="G268" s="154"/>
      <c r="H268" s="154">
        <v>5.9</v>
      </c>
      <c r="I268" s="148">
        <f t="shared" si="134"/>
        <v>0</v>
      </c>
      <c r="J268" s="148">
        <f t="shared" si="128"/>
        <v>5.9</v>
      </c>
      <c r="K268" s="148">
        <f t="shared" si="129"/>
        <v>0</v>
      </c>
      <c r="L268" s="148">
        <f t="shared" si="130"/>
        <v>0</v>
      </c>
      <c r="M268" s="148">
        <f t="shared" si="131"/>
        <v>5.9</v>
      </c>
      <c r="N268" s="148">
        <f t="shared" si="132"/>
        <v>0</v>
      </c>
      <c r="O268" s="148">
        <f t="shared" si="133"/>
        <v>5.9</v>
      </c>
    </row>
    <row r="269" spans="1:15" s="15" customFormat="1" ht="25.5">
      <c r="A269" s="65" t="s">
        <v>541</v>
      </c>
      <c r="B269" s="22" t="s">
        <v>329</v>
      </c>
      <c r="C269" s="155" t="s">
        <v>36</v>
      </c>
      <c r="D269" s="165">
        <v>28</v>
      </c>
      <c r="E269" s="155">
        <v>0.67</v>
      </c>
      <c r="F269" s="45">
        <f>$F$1</f>
        <v>3.8</v>
      </c>
      <c r="G269" s="45">
        <f>ROUND(E269*F269,2)</f>
        <v>2.55</v>
      </c>
      <c r="H269" s="45"/>
      <c r="I269" s="45">
        <f>ROUND(G269*$I$1,2)</f>
        <v>0.2</v>
      </c>
      <c r="J269" s="135">
        <f>SUM(G269:I269)</f>
        <v>2.75</v>
      </c>
      <c r="K269" s="135">
        <f>ROUND(D269*E269,2)</f>
        <v>18.76</v>
      </c>
      <c r="L269" s="135">
        <f>ROUND(D269*G269,2)</f>
        <v>71.4</v>
      </c>
      <c r="M269" s="135">
        <f>ROUND(D269*H269,2)</f>
        <v>0</v>
      </c>
      <c r="N269" s="135">
        <f>ROUND(I269*D269,2)</f>
        <v>5.6</v>
      </c>
      <c r="O269" s="135">
        <f>SUM(L269:N269)</f>
        <v>77</v>
      </c>
    </row>
    <row r="270" spans="1:15" s="129" customFormat="1" ht="12.75">
      <c r="A270" s="65" t="s">
        <v>542</v>
      </c>
      <c r="B270" s="162" t="s">
        <v>180</v>
      </c>
      <c r="C270" s="54" t="s">
        <v>36</v>
      </c>
      <c r="D270" s="163">
        <v>30</v>
      </c>
      <c r="E270" s="154"/>
      <c r="F270" s="154"/>
      <c r="G270" s="154"/>
      <c r="H270" s="154">
        <v>0.82</v>
      </c>
      <c r="I270" s="148">
        <f>ROUND(G270*$I$1,2)</f>
        <v>0</v>
      </c>
      <c r="J270" s="148">
        <f>SUM(G270:I270)</f>
        <v>0.82</v>
      </c>
      <c r="K270" s="148">
        <f>ROUND(D270*E270,2)</f>
        <v>0</v>
      </c>
      <c r="L270" s="148">
        <f>ROUND(D270*G270,2)</f>
        <v>0</v>
      </c>
      <c r="M270" s="148">
        <f>ROUND(D270*H270,2)</f>
        <v>24.6</v>
      </c>
      <c r="N270" s="148">
        <f>ROUND(I270*D270,2)</f>
        <v>0</v>
      </c>
      <c r="O270" s="148">
        <f>SUM(L270:N270)</f>
        <v>24.6</v>
      </c>
    </row>
    <row r="271" spans="1:15" s="129" customFormat="1" ht="12.75">
      <c r="A271" s="65" t="s">
        <v>543</v>
      </c>
      <c r="B271" s="162" t="s">
        <v>181</v>
      </c>
      <c r="C271" s="54" t="s">
        <v>148</v>
      </c>
      <c r="D271" s="163">
        <v>1</v>
      </c>
      <c r="E271" s="154"/>
      <c r="F271" s="154"/>
      <c r="G271" s="154"/>
      <c r="H271" s="154">
        <v>9.69</v>
      </c>
      <c r="I271" s="148">
        <f>ROUND(G271*$I$1,2)</f>
        <v>0</v>
      </c>
      <c r="J271" s="148">
        <f>SUM(G271:I271)</f>
        <v>9.69</v>
      </c>
      <c r="K271" s="148">
        <f>ROUND(D271*E271,2)</f>
        <v>0</v>
      </c>
      <c r="L271" s="148">
        <f>ROUND(D271*G271,2)</f>
        <v>0</v>
      </c>
      <c r="M271" s="148">
        <f>ROUND(D271*H271,2)</f>
        <v>9.69</v>
      </c>
      <c r="N271" s="148">
        <f>ROUND(I271*D271,2)</f>
        <v>0</v>
      </c>
      <c r="O271" s="148">
        <f>SUM(L271:N271)</f>
        <v>9.69</v>
      </c>
    </row>
    <row r="272" spans="1:15" s="129" customFormat="1" ht="25.5">
      <c r="A272" s="65" t="s">
        <v>544</v>
      </c>
      <c r="B272" s="162" t="s">
        <v>330</v>
      </c>
      <c r="C272" s="54" t="s">
        <v>148</v>
      </c>
      <c r="D272" s="163">
        <v>30</v>
      </c>
      <c r="E272" s="154"/>
      <c r="F272" s="154"/>
      <c r="G272" s="154"/>
      <c r="H272" s="154">
        <v>2.14</v>
      </c>
      <c r="I272" s="148">
        <f>ROUND(G272*$I$1,2)</f>
        <v>0</v>
      </c>
      <c r="J272" s="148">
        <f>SUM(G272:I272)</f>
        <v>2.14</v>
      </c>
      <c r="K272" s="148">
        <f>ROUND(D272*E272,2)</f>
        <v>0</v>
      </c>
      <c r="L272" s="148">
        <f>ROUND(D272*G272,2)</f>
        <v>0</v>
      </c>
      <c r="M272" s="148">
        <f>ROUND(D272*H272,2)</f>
        <v>64.2</v>
      </c>
      <c r="N272" s="148">
        <f>ROUND(I272*D272,2)</f>
        <v>0</v>
      </c>
      <c r="O272" s="148">
        <f>SUM(L272:N272)</f>
        <v>64.2</v>
      </c>
    </row>
    <row r="273" spans="1:15" s="129" customFormat="1" ht="12.75">
      <c r="A273" s="65" t="s">
        <v>545</v>
      </c>
      <c r="B273" s="162" t="s">
        <v>0</v>
      </c>
      <c r="C273" s="54" t="s">
        <v>33</v>
      </c>
      <c r="D273" s="163">
        <v>1</v>
      </c>
      <c r="E273" s="154"/>
      <c r="F273" s="154"/>
      <c r="G273" s="154"/>
      <c r="H273" s="154">
        <v>25</v>
      </c>
      <c r="I273" s="148">
        <f>ROUND(G273*$I$1,2)</f>
        <v>0</v>
      </c>
      <c r="J273" s="148">
        <f>SUM(G273:I273)</f>
        <v>25</v>
      </c>
      <c r="K273" s="148">
        <f>ROUND(D273*E273,2)</f>
        <v>0</v>
      </c>
      <c r="L273" s="148">
        <f>ROUND(D273*G273,2)</f>
        <v>0</v>
      </c>
      <c r="M273" s="148">
        <f>ROUND(D273*H273,2)</f>
        <v>25</v>
      </c>
      <c r="N273" s="148">
        <f>ROUND(I273*D273,2)</f>
        <v>0</v>
      </c>
      <c r="O273" s="148">
        <f>SUM(L273:N273)</f>
        <v>25</v>
      </c>
    </row>
    <row r="274" spans="1:15" ht="13.5" thickBot="1">
      <c r="A274" s="169"/>
      <c r="B274" s="170"/>
      <c r="C274" s="171"/>
      <c r="D274" s="171"/>
      <c r="E274" s="172"/>
      <c r="F274" s="173"/>
      <c r="G274" s="172"/>
      <c r="H274" s="172"/>
      <c r="I274" s="172"/>
      <c r="J274" s="174"/>
      <c r="K274" s="174"/>
      <c r="L274" s="174"/>
      <c r="M274" s="174"/>
      <c r="N274" s="174"/>
      <c r="O274" s="174"/>
    </row>
    <row r="275" spans="1:17" ht="13.5" thickTop="1">
      <c r="A275" s="23"/>
      <c r="B275" s="18" t="s">
        <v>39</v>
      </c>
      <c r="C275" s="19"/>
      <c r="D275" s="19"/>
      <c r="E275" s="125"/>
      <c r="F275" s="125"/>
      <c r="G275" s="125"/>
      <c r="H275" s="125"/>
      <c r="I275" s="125"/>
      <c r="J275" s="125"/>
      <c r="K275" s="126">
        <f>SUM(K17:K273)</f>
        <v>937.27</v>
      </c>
      <c r="L275" s="126">
        <f>SUM(L17:L273)</f>
        <v>3561.65</v>
      </c>
      <c r="M275" s="126">
        <f>SUM(M17:M273)</f>
        <v>20256.2</v>
      </c>
      <c r="N275" s="126">
        <f>SUM(N17:N273)</f>
        <v>784.18</v>
      </c>
      <c r="O275" s="126">
        <f>SUM(O17:O273)</f>
        <v>24602.03</v>
      </c>
      <c r="Q275" s="178"/>
    </row>
    <row r="276" spans="1:15" ht="25.5">
      <c r="A276" s="128"/>
      <c r="B276" s="127" t="s">
        <v>40</v>
      </c>
      <c r="C276" s="175">
        <v>0.08</v>
      </c>
      <c r="D276" s="5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76">
        <f>ROUND(O275*$C276,2)</f>
        <v>1968.16</v>
      </c>
    </row>
    <row r="277" spans="1:15" ht="12.75">
      <c r="A277" s="23"/>
      <c r="B277" s="14" t="s">
        <v>39</v>
      </c>
      <c r="C277" s="10"/>
      <c r="D277" s="10"/>
      <c r="E277" s="14"/>
      <c r="F277" s="14"/>
      <c r="G277" s="14"/>
      <c r="H277" s="14"/>
      <c r="I277" s="14"/>
      <c r="J277" s="14"/>
      <c r="K277" s="46">
        <f>K275+K276</f>
        <v>937.27</v>
      </c>
      <c r="L277" s="46">
        <f>L275+L276</f>
        <v>3561.65</v>
      </c>
      <c r="M277" s="46">
        <f>M275+M276</f>
        <v>20256.2</v>
      </c>
      <c r="N277" s="46">
        <f>N275+N276</f>
        <v>784.18</v>
      </c>
      <c r="O277" s="46">
        <f>O275+O276</f>
        <v>26570.19</v>
      </c>
    </row>
    <row r="278" spans="1:15" ht="12.75">
      <c r="A278" s="132"/>
      <c r="B278" s="132"/>
      <c r="C278" s="132"/>
      <c r="D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</row>
    <row r="279" spans="1:15" ht="14.25">
      <c r="A279" s="132"/>
      <c r="B279" s="352" t="s">
        <v>331</v>
      </c>
      <c r="C279" s="352"/>
      <c r="D279" s="352"/>
      <c r="E279" s="352"/>
      <c r="F279" s="352"/>
      <c r="G279" s="352"/>
      <c r="H279" s="132"/>
      <c r="I279" s="132"/>
      <c r="J279" s="132"/>
      <c r="K279" s="132"/>
      <c r="L279" s="132"/>
      <c r="M279" s="132"/>
      <c r="N279" s="132"/>
      <c r="O279" s="132"/>
    </row>
    <row r="280" spans="1:15" ht="12.75">
      <c r="A280" s="132"/>
      <c r="B280" s="132"/>
      <c r="C280" s="177"/>
      <c r="D280" s="177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</row>
    <row r="281" spans="1:15" ht="12.75">
      <c r="A281" s="132"/>
      <c r="B281" s="132"/>
      <c r="C281" s="177"/>
      <c r="D281" s="177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</row>
    <row r="282" spans="1:15" ht="12.75">
      <c r="A282" s="52" t="s">
        <v>6</v>
      </c>
      <c r="B282" s="130" t="e">
        <f>#REF!</f>
        <v>#REF!</v>
      </c>
      <c r="C282" s="177"/>
      <c r="D282" s="177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</row>
    <row r="283" spans="1:15" ht="12.75">
      <c r="A283" s="52"/>
      <c r="B283" s="52"/>
      <c r="C283" s="177"/>
      <c r="D283" s="177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</row>
    <row r="284" spans="1:15" ht="12.75">
      <c r="A284" s="52" t="s">
        <v>3</v>
      </c>
      <c r="B284" s="51" t="s">
        <v>332</v>
      </c>
      <c r="C284" s="177"/>
      <c r="D284" s="177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</row>
    <row r="285" spans="1:15" ht="12.75">
      <c r="A285" s="52"/>
      <c r="B285" s="51"/>
      <c r="C285" s="177"/>
      <c r="D285" s="177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</row>
  </sheetData>
  <sheetProtection/>
  <mergeCells count="32">
    <mergeCell ref="A39:J39"/>
    <mergeCell ref="A51:J51"/>
    <mergeCell ref="A17:J17"/>
    <mergeCell ref="A225:J225"/>
    <mergeCell ref="A142:J142"/>
    <mergeCell ref="A160:J160"/>
    <mergeCell ref="B18:G18"/>
    <mergeCell ref="A205:J205"/>
    <mergeCell ref="A214:J214"/>
    <mergeCell ref="M13:N13"/>
    <mergeCell ref="A14:A15"/>
    <mergeCell ref="B14:B15"/>
    <mergeCell ref="C14:C15"/>
    <mergeCell ref="D14:D15"/>
    <mergeCell ref="E14:J14"/>
    <mergeCell ref="K14:O14"/>
    <mergeCell ref="A2:O2"/>
    <mergeCell ref="A3:O3"/>
    <mergeCell ref="A5:B5"/>
    <mergeCell ref="C5:O5"/>
    <mergeCell ref="A6:B6"/>
    <mergeCell ref="J11:L11"/>
    <mergeCell ref="B279:G279"/>
    <mergeCell ref="A7:B7"/>
    <mergeCell ref="A89:J89"/>
    <mergeCell ref="A99:J99"/>
    <mergeCell ref="A104:J104"/>
    <mergeCell ref="A127:J127"/>
    <mergeCell ref="A8:B8"/>
    <mergeCell ref="G11:I11"/>
    <mergeCell ref="A174:J174"/>
    <mergeCell ref="B37:G37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5" r:id="rId4"/>
  <headerFooter alignWithMargins="0">
    <oddFooter>&amp;CLapaspuse &amp;P no &amp;N&amp;R&amp;A</oddFooter>
  </headerFooter>
  <rowBreaks count="2" manualBreakCount="2">
    <brk id="213" max="14" man="1"/>
    <brk id="260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Signe</cp:lastModifiedBy>
  <cp:lastPrinted>2017-11-09T11:12:44Z</cp:lastPrinted>
  <dcterms:created xsi:type="dcterms:W3CDTF">2011-03-23T14:07:45Z</dcterms:created>
  <dcterms:modified xsi:type="dcterms:W3CDTF">2017-11-09T11:12:53Z</dcterms:modified>
  <cp:category/>
  <cp:version/>
  <cp:contentType/>
  <cp:contentStatus/>
</cp:coreProperties>
</file>